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codeName="ThisWorkbook"/>
  <mc:AlternateContent xmlns:mc="http://schemas.openxmlformats.org/markup-compatibility/2006">
    <mc:Choice Requires="x15">
      <x15ac:absPath xmlns:x15ac="http://schemas.microsoft.com/office/spreadsheetml/2010/11/ac" url="https://pbgcgov-my.sharepoint.com/personal/sarcona_felice_pbgc_gov/Documents/Temp Files/"/>
    </mc:Choice>
  </mc:AlternateContent>
  <xr:revisionPtr revIDLastSave="0" documentId="8_{505EFAD0-B491-4685-81F8-26B1DA5121BE}" xr6:coauthVersionLast="47" xr6:coauthVersionMax="47" xr10:uidLastSave="{00000000-0000-0000-0000-000000000000}"/>
  <workbookProtection workbookAlgorithmName="SHA-512" workbookHashValue="OMapDHjFBQh6edxaKM4XOK5WCmY20X3iTw2SHd18JRqWGo9+SPONUw6WHkWQ0fSMT5LZjGl9Te/Ma28q7S+tEw==" workbookSaltValue="gNYuSOk9MEuKILfOe+4xNw==" workbookSpinCount="100000" lockStructure="1"/>
  <bookViews>
    <workbookView xWindow="-110" yWindow="-110" windowWidth="19420" windowHeight="11500" tabRatio="688" firstSheet="2" activeTab="1" xr2:uid="{00000000-000D-0000-FFFF-FFFF00000000}"/>
  </bookViews>
  <sheets>
    <sheet name="Instructions" sheetId="13" r:id="rId1"/>
    <sheet name="Before NRA" sheetId="1" r:id="rId2"/>
    <sheet name="On or After NRA" sheetId="8" r:id="rId3"/>
    <sheet name="Work Area 1" sheetId="15" r:id="rId4"/>
    <sheet name="Work Area 2" sheetId="16" r:id="rId5"/>
    <sheet name="Work Area 3" sheetId="17" r:id="rId6"/>
    <sheet name="Work Area 4" sheetId="18" r:id="rId7"/>
    <sheet name="Work Area 5" sheetId="19" r:id="rId8"/>
    <sheet name="AnnuFact_Before_NRD" sheetId="22" state="veryHidden" r:id="rId9"/>
    <sheet name="AnnuFact_After_NRD" sheetId="10" state="veryHidden" r:id="rId10"/>
    <sheet name="Annuity Factor Calcs" sheetId="12" state="veryHidden" r:id="rId11"/>
    <sheet name="XRA_Table2C" sheetId="9" state="veryHidden" r:id="rId12"/>
    <sheet name="4044 Yield Curves" sheetId="20" state="veryHidden" r:id="rId13"/>
    <sheet name="4050 Mortality" sheetId="21" state="veryHidden" r:id="rId14"/>
    <sheet name="Update Wkbk Instructions" sheetId="14" state="veryHidden" r:id="rId15"/>
  </sheets>
  <definedNames>
    <definedName name="ForwardRates">'4044 Yield Curves'!$W$8:$X$38</definedName>
    <definedName name="InterestDiscount" localSheetId="9">AnnuFact_After_NRD!$M$7:$M$127</definedName>
    <definedName name="InterestDiscount" localSheetId="8">AnnuFact_Before_NRD!$N$7:$N$127</definedName>
    <definedName name="InterestDiscount2" localSheetId="9">AnnuFact_After_NRD!$S$7:$S$127</definedName>
    <definedName name="InterestDiscount2" localSheetId="8">AnnuFact_Before_NRD!$U$7:$U$127</definedName>
    <definedName name="Mort_4044_53_h">'4050 Mortality'!$C$5:$C$130</definedName>
    <definedName name="Payment" localSheetId="9">AnnuFact_After_NRD!$N$7:$N$127</definedName>
    <definedName name="Payment2" localSheetId="9">AnnuFact_After_NRD!$T$7:$T$127</definedName>
    <definedName name="_xlnm.Print_Area" localSheetId="1">'Before NRA'!$A$1:$F$18</definedName>
    <definedName name="_xlnm.Print_Area" localSheetId="0">Instructions!$B$1:$D$43</definedName>
    <definedName name="_xlnm.Print_Area" localSheetId="2">'On or After NRA'!$A$1:$F$15</definedName>
    <definedName name="_xlnm.Print_Area" localSheetId="14">'Update Wkbk Instructions'!$A$1:$T$44</definedName>
    <definedName name="SurvivalDiscount" localSheetId="9">AnnuFact_After_NRD!$J$7:$J$127</definedName>
    <definedName name="SurvivalDiscount" localSheetId="8">AnnuFact_Before_NRD!$K$7:$K$127</definedName>
    <definedName name="SurvivalDiscount2" localSheetId="9">AnnuFact_After_NRD!$P$7:$P$127</definedName>
    <definedName name="SurvivalDiscount2" localSheetId="8">AnnuFact_Before_NRD!$R$7:$R$127</definedName>
    <definedName name="SurviveFromBOYtoMidYear">AnnuFact_Before_NRD!$I$7:$I$127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9" i="1" l="1"/>
  <c r="G9" i="8"/>
  <c r="E16" i="10"/>
  <c r="E17" i="10" s="1"/>
  <c r="D39" i="14"/>
  <c r="D35" i="14"/>
  <c r="D31" i="14"/>
  <c r="D23" i="14"/>
  <c r="D16" i="14"/>
  <c r="D13" i="14"/>
  <c r="C6" i="20"/>
  <c r="A2" i="14" l="1"/>
  <c r="B2" i="21" s="1"/>
  <c r="G11" i="1"/>
  <c r="T9" i="20"/>
  <c r="T10" i="20" s="1"/>
  <c r="D28" i="14"/>
  <c r="D20" i="14"/>
  <c r="D38" i="14"/>
  <c r="D34" i="14"/>
  <c r="D29" i="14"/>
  <c r="D21" i="14"/>
  <c r="T11" i="20" l="1"/>
  <c r="G8" i="22"/>
  <c r="H8" i="22" s="1"/>
  <c r="I8" i="22" s="1"/>
  <c r="G9" i="22"/>
  <c r="H9" i="22" s="1"/>
  <c r="I9" i="22" s="1"/>
  <c r="G10" i="22"/>
  <c r="H10" i="22" s="1"/>
  <c r="I10" i="22" s="1"/>
  <c r="G11" i="22"/>
  <c r="H11" i="22" s="1"/>
  <c r="I11" i="22" s="1"/>
  <c r="G12" i="22"/>
  <c r="H12" i="22" s="1"/>
  <c r="I12" i="22" s="1"/>
  <c r="G13" i="22"/>
  <c r="H13" i="22" s="1"/>
  <c r="I13" i="22" s="1"/>
  <c r="G14" i="22"/>
  <c r="H14" i="22" s="1"/>
  <c r="I14" i="22" s="1"/>
  <c r="G15" i="22"/>
  <c r="H15" i="22" s="1"/>
  <c r="I15" i="22" s="1"/>
  <c r="G16" i="22"/>
  <c r="H16" i="22" s="1"/>
  <c r="I16" i="22" s="1"/>
  <c r="G17" i="22"/>
  <c r="H17" i="22" s="1"/>
  <c r="I17" i="22" s="1"/>
  <c r="G18" i="22"/>
  <c r="H18" i="22" s="1"/>
  <c r="I18" i="22" s="1"/>
  <c r="G19" i="22"/>
  <c r="H19" i="22" s="1"/>
  <c r="I19" i="22" s="1"/>
  <c r="G20" i="22"/>
  <c r="H20" i="22" s="1"/>
  <c r="I20" i="22" s="1"/>
  <c r="G21" i="22"/>
  <c r="H21" i="22" s="1"/>
  <c r="I21" i="22" s="1"/>
  <c r="G22" i="22"/>
  <c r="H22" i="22" s="1"/>
  <c r="I22" i="22" s="1"/>
  <c r="G23" i="22"/>
  <c r="H23" i="22" s="1"/>
  <c r="I23" i="22" s="1"/>
  <c r="G24" i="22"/>
  <c r="H24" i="22" s="1"/>
  <c r="I24" i="22" s="1"/>
  <c r="G25" i="22"/>
  <c r="H25" i="22" s="1"/>
  <c r="I25" i="22" s="1"/>
  <c r="G26" i="22"/>
  <c r="H26" i="22" s="1"/>
  <c r="I26" i="22" s="1"/>
  <c r="G27" i="22"/>
  <c r="H27" i="22" s="1"/>
  <c r="I27" i="22" s="1"/>
  <c r="G28" i="22"/>
  <c r="H28" i="22" s="1"/>
  <c r="I28" i="22" s="1"/>
  <c r="G29" i="22"/>
  <c r="H29" i="22" s="1"/>
  <c r="I29" i="22" s="1"/>
  <c r="G30" i="22"/>
  <c r="H30" i="22" s="1"/>
  <c r="I30" i="22" s="1"/>
  <c r="G31" i="22"/>
  <c r="H31" i="22" s="1"/>
  <c r="I31" i="22" s="1"/>
  <c r="G32" i="22"/>
  <c r="H32" i="22" s="1"/>
  <c r="I32" i="22" s="1"/>
  <c r="G33" i="22"/>
  <c r="H33" i="22" s="1"/>
  <c r="I33" i="22" s="1"/>
  <c r="G34" i="22"/>
  <c r="H34" i="22" s="1"/>
  <c r="I34" i="22" s="1"/>
  <c r="G35" i="22"/>
  <c r="H35" i="22" s="1"/>
  <c r="I35" i="22" s="1"/>
  <c r="G36" i="22"/>
  <c r="H36" i="22" s="1"/>
  <c r="I36" i="22" s="1"/>
  <c r="G37" i="22"/>
  <c r="H37" i="22" s="1"/>
  <c r="I37" i="22" s="1"/>
  <c r="G38" i="22"/>
  <c r="H38" i="22" s="1"/>
  <c r="I38" i="22" s="1"/>
  <c r="G39" i="22"/>
  <c r="H39" i="22" s="1"/>
  <c r="I39" i="22" s="1"/>
  <c r="G40" i="22"/>
  <c r="H40" i="22" s="1"/>
  <c r="I40" i="22" s="1"/>
  <c r="G41" i="22"/>
  <c r="H41" i="22" s="1"/>
  <c r="I41" i="22" s="1"/>
  <c r="G42" i="22"/>
  <c r="H42" i="22" s="1"/>
  <c r="I42" i="22" s="1"/>
  <c r="G43" i="22"/>
  <c r="H43" i="22" s="1"/>
  <c r="I43" i="22" s="1"/>
  <c r="G44" i="22"/>
  <c r="H44" i="22" s="1"/>
  <c r="I44" i="22" s="1"/>
  <c r="G45" i="22"/>
  <c r="H45" i="22" s="1"/>
  <c r="I45" i="22" s="1"/>
  <c r="G46" i="22"/>
  <c r="H46" i="22" s="1"/>
  <c r="I46" i="22" s="1"/>
  <c r="G47" i="22"/>
  <c r="H47" i="22" s="1"/>
  <c r="I47" i="22" s="1"/>
  <c r="G48" i="22"/>
  <c r="H48" i="22" s="1"/>
  <c r="I48" i="22" s="1"/>
  <c r="G49" i="22"/>
  <c r="H49" i="22" s="1"/>
  <c r="I49" i="22" s="1"/>
  <c r="G50" i="22"/>
  <c r="H50" i="22" s="1"/>
  <c r="I50" i="22" s="1"/>
  <c r="G51" i="22"/>
  <c r="H51" i="22" s="1"/>
  <c r="I51" i="22" s="1"/>
  <c r="G52" i="22"/>
  <c r="H52" i="22" s="1"/>
  <c r="I52" i="22" s="1"/>
  <c r="G53" i="22"/>
  <c r="H53" i="22" s="1"/>
  <c r="I53" i="22" s="1"/>
  <c r="G54" i="22"/>
  <c r="H54" i="22" s="1"/>
  <c r="I54" i="22" s="1"/>
  <c r="G55" i="22"/>
  <c r="H55" i="22" s="1"/>
  <c r="I55" i="22" s="1"/>
  <c r="G56" i="22"/>
  <c r="H56" i="22" s="1"/>
  <c r="I56" i="22" s="1"/>
  <c r="G57" i="22"/>
  <c r="H57" i="22" s="1"/>
  <c r="I57" i="22" s="1"/>
  <c r="G58" i="22"/>
  <c r="H58" i="22" s="1"/>
  <c r="I58" i="22" s="1"/>
  <c r="G59" i="22"/>
  <c r="H59" i="22" s="1"/>
  <c r="I59" i="22" s="1"/>
  <c r="G60" i="22"/>
  <c r="H60" i="22" s="1"/>
  <c r="I60" i="22" s="1"/>
  <c r="G61" i="22"/>
  <c r="H61" i="22" s="1"/>
  <c r="I61" i="22" s="1"/>
  <c r="G62" i="22"/>
  <c r="H62" i="22" s="1"/>
  <c r="I62" i="22" s="1"/>
  <c r="G63" i="22"/>
  <c r="H63" i="22" s="1"/>
  <c r="I63" i="22" s="1"/>
  <c r="G64" i="22"/>
  <c r="H64" i="22" s="1"/>
  <c r="I64" i="22" s="1"/>
  <c r="G65" i="22"/>
  <c r="H65" i="22" s="1"/>
  <c r="I65" i="22" s="1"/>
  <c r="G66" i="22"/>
  <c r="H66" i="22" s="1"/>
  <c r="I66" i="22" s="1"/>
  <c r="G67" i="22"/>
  <c r="H67" i="22" s="1"/>
  <c r="I67" i="22" s="1"/>
  <c r="G68" i="22"/>
  <c r="H68" i="22" s="1"/>
  <c r="I68" i="22" s="1"/>
  <c r="G69" i="22"/>
  <c r="H69" i="22" s="1"/>
  <c r="I69" i="22" s="1"/>
  <c r="G70" i="22"/>
  <c r="H70" i="22" s="1"/>
  <c r="I70" i="22" s="1"/>
  <c r="G71" i="22"/>
  <c r="H71" i="22" s="1"/>
  <c r="I71" i="22" s="1"/>
  <c r="G72" i="22"/>
  <c r="H72" i="22" s="1"/>
  <c r="I72" i="22" s="1"/>
  <c r="G73" i="22"/>
  <c r="H73" i="22" s="1"/>
  <c r="I73" i="22" s="1"/>
  <c r="G74" i="22"/>
  <c r="H74" i="22" s="1"/>
  <c r="I74" i="22" s="1"/>
  <c r="G75" i="22"/>
  <c r="H75" i="22" s="1"/>
  <c r="I75" i="22" s="1"/>
  <c r="G76" i="22"/>
  <c r="H76" i="22" s="1"/>
  <c r="I76" i="22" s="1"/>
  <c r="G77" i="22"/>
  <c r="H77" i="22" s="1"/>
  <c r="I77" i="22" s="1"/>
  <c r="G78" i="22"/>
  <c r="H78" i="22" s="1"/>
  <c r="I78" i="22" s="1"/>
  <c r="G79" i="22"/>
  <c r="H79" i="22" s="1"/>
  <c r="I79" i="22" s="1"/>
  <c r="G80" i="22"/>
  <c r="H80" i="22" s="1"/>
  <c r="I80" i="22" s="1"/>
  <c r="G81" i="22"/>
  <c r="H81" i="22" s="1"/>
  <c r="I81" i="22" s="1"/>
  <c r="G82" i="22"/>
  <c r="H82" i="22" s="1"/>
  <c r="I82" i="22" s="1"/>
  <c r="G83" i="22"/>
  <c r="H83" i="22" s="1"/>
  <c r="I83" i="22" s="1"/>
  <c r="G84" i="22"/>
  <c r="H84" i="22" s="1"/>
  <c r="I84" i="22" s="1"/>
  <c r="G85" i="22"/>
  <c r="H85" i="22" s="1"/>
  <c r="I85" i="22" s="1"/>
  <c r="G86" i="22"/>
  <c r="H86" i="22" s="1"/>
  <c r="I86" i="22" s="1"/>
  <c r="G87" i="22"/>
  <c r="H87" i="22" s="1"/>
  <c r="I87" i="22" s="1"/>
  <c r="G88" i="22"/>
  <c r="H88" i="22" s="1"/>
  <c r="I88" i="22" s="1"/>
  <c r="G89" i="22"/>
  <c r="H89" i="22" s="1"/>
  <c r="I89" i="22" s="1"/>
  <c r="G90" i="22"/>
  <c r="H90" i="22" s="1"/>
  <c r="I90" i="22" s="1"/>
  <c r="G91" i="22"/>
  <c r="H91" i="22" s="1"/>
  <c r="I91" i="22" s="1"/>
  <c r="G92" i="22"/>
  <c r="H92" i="22" s="1"/>
  <c r="I92" i="22" s="1"/>
  <c r="G93" i="22"/>
  <c r="H93" i="22" s="1"/>
  <c r="I93" i="22" s="1"/>
  <c r="G94" i="22"/>
  <c r="H94" i="22" s="1"/>
  <c r="I94" i="22" s="1"/>
  <c r="G95" i="22"/>
  <c r="H95" i="22" s="1"/>
  <c r="I95" i="22" s="1"/>
  <c r="G96" i="22"/>
  <c r="H96" i="22" s="1"/>
  <c r="I96" i="22" s="1"/>
  <c r="G97" i="22"/>
  <c r="H97" i="22" s="1"/>
  <c r="I97" i="22" s="1"/>
  <c r="G98" i="22"/>
  <c r="H98" i="22" s="1"/>
  <c r="I98" i="22" s="1"/>
  <c r="G99" i="22"/>
  <c r="H99" i="22" s="1"/>
  <c r="I99" i="22" s="1"/>
  <c r="G100" i="22"/>
  <c r="H100" i="22" s="1"/>
  <c r="I100" i="22" s="1"/>
  <c r="G101" i="22"/>
  <c r="H101" i="22" s="1"/>
  <c r="I101" i="22" s="1"/>
  <c r="G102" i="22"/>
  <c r="H102" i="22" s="1"/>
  <c r="I102" i="22" s="1"/>
  <c r="G103" i="22"/>
  <c r="H103" i="22" s="1"/>
  <c r="I103" i="22" s="1"/>
  <c r="G104" i="22"/>
  <c r="H104" i="22" s="1"/>
  <c r="I104" i="22" s="1"/>
  <c r="G105" i="22"/>
  <c r="H105" i="22" s="1"/>
  <c r="I105" i="22" s="1"/>
  <c r="G106" i="22"/>
  <c r="H106" i="22" s="1"/>
  <c r="I106" i="22" s="1"/>
  <c r="G107" i="22"/>
  <c r="H107" i="22" s="1"/>
  <c r="I107" i="22" s="1"/>
  <c r="G108" i="22"/>
  <c r="H108" i="22" s="1"/>
  <c r="I108" i="22" s="1"/>
  <c r="G109" i="22"/>
  <c r="H109" i="22" s="1"/>
  <c r="I109" i="22" s="1"/>
  <c r="G110" i="22"/>
  <c r="H110" i="22" s="1"/>
  <c r="I110" i="22" s="1"/>
  <c r="G111" i="22"/>
  <c r="H111" i="22" s="1"/>
  <c r="I111" i="22" s="1"/>
  <c r="G112" i="22"/>
  <c r="H112" i="22" s="1"/>
  <c r="I112" i="22" s="1"/>
  <c r="G113" i="22"/>
  <c r="H113" i="22" s="1"/>
  <c r="I113" i="22" s="1"/>
  <c r="G114" i="22"/>
  <c r="H114" i="22" s="1"/>
  <c r="I114" i="22" s="1"/>
  <c r="G115" i="22"/>
  <c r="H115" i="22" s="1"/>
  <c r="I115" i="22" s="1"/>
  <c r="G116" i="22"/>
  <c r="H116" i="22" s="1"/>
  <c r="I116" i="22" s="1"/>
  <c r="G117" i="22"/>
  <c r="H117" i="22" s="1"/>
  <c r="I117" i="22" s="1"/>
  <c r="G118" i="22"/>
  <c r="H118" i="22" s="1"/>
  <c r="I118" i="22" s="1"/>
  <c r="G119" i="22"/>
  <c r="H119" i="22" s="1"/>
  <c r="I119" i="22" s="1"/>
  <c r="G120" i="22"/>
  <c r="H120" i="22" s="1"/>
  <c r="I120" i="22" s="1"/>
  <c r="G121" i="22"/>
  <c r="H121" i="22" s="1"/>
  <c r="I121" i="22" s="1"/>
  <c r="G122" i="22"/>
  <c r="H122" i="22" s="1"/>
  <c r="I122" i="22" s="1"/>
  <c r="G123" i="22"/>
  <c r="H123" i="22" s="1"/>
  <c r="I123" i="22" s="1"/>
  <c r="G124" i="22"/>
  <c r="H124" i="22" s="1"/>
  <c r="I124" i="22" s="1"/>
  <c r="G125" i="22"/>
  <c r="H125" i="22" s="1"/>
  <c r="I125" i="22" s="1"/>
  <c r="G126" i="22"/>
  <c r="H126" i="22" s="1"/>
  <c r="I126" i="22" s="1"/>
  <c r="G127" i="22"/>
  <c r="H127" i="22" s="1"/>
  <c r="I127" i="22" s="1"/>
  <c r="F8" i="22"/>
  <c r="G7" i="22"/>
  <c r="H7" i="22" s="1"/>
  <c r="I7" i="22" s="1"/>
  <c r="T12" i="20" l="1"/>
  <c r="F9" i="22"/>
  <c r="D18" i="12"/>
  <c r="A4" i="10" s="1"/>
  <c r="E8" i="10"/>
  <c r="F127" i="10"/>
  <c r="G127" i="10" s="1"/>
  <c r="H127" i="10" s="1"/>
  <c r="F126" i="10"/>
  <c r="G126" i="10" s="1"/>
  <c r="H126" i="10" s="1"/>
  <c r="F125" i="10"/>
  <c r="G125" i="10" s="1"/>
  <c r="H125" i="10" s="1"/>
  <c r="F124" i="10"/>
  <c r="G124" i="10" s="1"/>
  <c r="H124" i="10" s="1"/>
  <c r="F123" i="10"/>
  <c r="G123" i="10" s="1"/>
  <c r="H123" i="10" s="1"/>
  <c r="F122" i="10"/>
  <c r="G122" i="10" s="1"/>
  <c r="H122" i="10" s="1"/>
  <c r="F121" i="10"/>
  <c r="G121" i="10" s="1"/>
  <c r="H121" i="10" s="1"/>
  <c r="F120" i="10"/>
  <c r="G120" i="10" s="1"/>
  <c r="H120" i="10" s="1"/>
  <c r="F119" i="10"/>
  <c r="G119" i="10" s="1"/>
  <c r="H119" i="10" s="1"/>
  <c r="F118" i="10"/>
  <c r="G118" i="10" s="1"/>
  <c r="H118" i="10" s="1"/>
  <c r="F117" i="10"/>
  <c r="G117" i="10" s="1"/>
  <c r="H117" i="10" s="1"/>
  <c r="F116" i="10"/>
  <c r="G116" i="10" s="1"/>
  <c r="H116" i="10" s="1"/>
  <c r="F115" i="10"/>
  <c r="G115" i="10" s="1"/>
  <c r="H115" i="10" s="1"/>
  <c r="F114" i="10"/>
  <c r="G114" i="10" s="1"/>
  <c r="H114" i="10" s="1"/>
  <c r="F113" i="10"/>
  <c r="G113" i="10" s="1"/>
  <c r="H113" i="10" s="1"/>
  <c r="F112" i="10"/>
  <c r="G112" i="10" s="1"/>
  <c r="H112" i="10" s="1"/>
  <c r="F111" i="10"/>
  <c r="G111" i="10" s="1"/>
  <c r="H111" i="10" s="1"/>
  <c r="F110" i="10"/>
  <c r="G110" i="10" s="1"/>
  <c r="H110" i="10" s="1"/>
  <c r="F109" i="10"/>
  <c r="G109" i="10" s="1"/>
  <c r="H109" i="10" s="1"/>
  <c r="F108" i="10"/>
  <c r="G108" i="10" s="1"/>
  <c r="H108" i="10" s="1"/>
  <c r="F107" i="10"/>
  <c r="G107" i="10" s="1"/>
  <c r="H107" i="10" s="1"/>
  <c r="F106" i="10"/>
  <c r="G106" i="10" s="1"/>
  <c r="H106" i="10" s="1"/>
  <c r="F105" i="10"/>
  <c r="G105" i="10" s="1"/>
  <c r="H105" i="10" s="1"/>
  <c r="F104" i="10"/>
  <c r="G104" i="10" s="1"/>
  <c r="H104" i="10" s="1"/>
  <c r="F103" i="10"/>
  <c r="G103" i="10" s="1"/>
  <c r="H103" i="10" s="1"/>
  <c r="F102" i="10"/>
  <c r="G102" i="10" s="1"/>
  <c r="H102" i="10" s="1"/>
  <c r="F101" i="10"/>
  <c r="G101" i="10" s="1"/>
  <c r="H101" i="10" s="1"/>
  <c r="F100" i="10"/>
  <c r="G100" i="10" s="1"/>
  <c r="H100" i="10" s="1"/>
  <c r="F99" i="10"/>
  <c r="G99" i="10" s="1"/>
  <c r="H99" i="10" s="1"/>
  <c r="F98" i="10"/>
  <c r="G98" i="10" s="1"/>
  <c r="H98" i="10" s="1"/>
  <c r="F97" i="10"/>
  <c r="G97" i="10" s="1"/>
  <c r="H97" i="10" s="1"/>
  <c r="F96" i="10"/>
  <c r="G96" i="10" s="1"/>
  <c r="H96" i="10" s="1"/>
  <c r="F95" i="10"/>
  <c r="G95" i="10" s="1"/>
  <c r="H95" i="10" s="1"/>
  <c r="F94" i="10"/>
  <c r="G94" i="10" s="1"/>
  <c r="H94" i="10" s="1"/>
  <c r="F93" i="10"/>
  <c r="G93" i="10" s="1"/>
  <c r="H93" i="10" s="1"/>
  <c r="F92" i="10"/>
  <c r="G92" i="10" s="1"/>
  <c r="H92" i="10" s="1"/>
  <c r="F91" i="10"/>
  <c r="G91" i="10" s="1"/>
  <c r="H91" i="10" s="1"/>
  <c r="F90" i="10"/>
  <c r="G90" i="10" s="1"/>
  <c r="H90" i="10" s="1"/>
  <c r="F89" i="10"/>
  <c r="G89" i="10" s="1"/>
  <c r="H89" i="10" s="1"/>
  <c r="F88" i="10"/>
  <c r="G88" i="10" s="1"/>
  <c r="H88" i="10" s="1"/>
  <c r="F87" i="10"/>
  <c r="G87" i="10" s="1"/>
  <c r="H87" i="10" s="1"/>
  <c r="F86" i="10"/>
  <c r="G86" i="10" s="1"/>
  <c r="H86" i="10" s="1"/>
  <c r="F85" i="10"/>
  <c r="G85" i="10" s="1"/>
  <c r="H85" i="10" s="1"/>
  <c r="F84" i="10"/>
  <c r="G84" i="10" s="1"/>
  <c r="H84" i="10" s="1"/>
  <c r="F83" i="10"/>
  <c r="G83" i="10" s="1"/>
  <c r="H83" i="10" s="1"/>
  <c r="F82" i="10"/>
  <c r="G82" i="10" s="1"/>
  <c r="H82" i="10" s="1"/>
  <c r="F81" i="10"/>
  <c r="G81" i="10" s="1"/>
  <c r="H81" i="10" s="1"/>
  <c r="F80" i="10"/>
  <c r="G80" i="10" s="1"/>
  <c r="H80" i="10" s="1"/>
  <c r="F79" i="10"/>
  <c r="G79" i="10" s="1"/>
  <c r="H79" i="10" s="1"/>
  <c r="F78" i="10"/>
  <c r="G78" i="10" s="1"/>
  <c r="H78" i="10" s="1"/>
  <c r="F77" i="10"/>
  <c r="G77" i="10" s="1"/>
  <c r="H77" i="10" s="1"/>
  <c r="F76" i="10"/>
  <c r="G76" i="10" s="1"/>
  <c r="H76" i="10" s="1"/>
  <c r="F75" i="10"/>
  <c r="G75" i="10" s="1"/>
  <c r="H75" i="10" s="1"/>
  <c r="F74" i="10"/>
  <c r="G74" i="10" s="1"/>
  <c r="H74" i="10" s="1"/>
  <c r="F73" i="10"/>
  <c r="G73" i="10" s="1"/>
  <c r="H73" i="10" s="1"/>
  <c r="F72" i="10"/>
  <c r="G72" i="10" s="1"/>
  <c r="H72" i="10" s="1"/>
  <c r="F71" i="10"/>
  <c r="G71" i="10" s="1"/>
  <c r="H71" i="10" s="1"/>
  <c r="F70" i="10"/>
  <c r="G70" i="10" s="1"/>
  <c r="H70" i="10" s="1"/>
  <c r="F69" i="10"/>
  <c r="G69" i="10" s="1"/>
  <c r="H69" i="10" s="1"/>
  <c r="F68" i="10"/>
  <c r="G68" i="10" s="1"/>
  <c r="H68" i="10" s="1"/>
  <c r="F67" i="10"/>
  <c r="G67" i="10" s="1"/>
  <c r="H67" i="10" s="1"/>
  <c r="F66" i="10"/>
  <c r="G66" i="10" s="1"/>
  <c r="H66" i="10" s="1"/>
  <c r="F65" i="10"/>
  <c r="G65" i="10" s="1"/>
  <c r="H65" i="10" s="1"/>
  <c r="F64" i="10"/>
  <c r="G64" i="10" s="1"/>
  <c r="H64" i="10" s="1"/>
  <c r="F63" i="10"/>
  <c r="G63" i="10" s="1"/>
  <c r="H63" i="10" s="1"/>
  <c r="F62" i="10"/>
  <c r="G62" i="10" s="1"/>
  <c r="H62" i="10" s="1"/>
  <c r="F61" i="10"/>
  <c r="G61" i="10" s="1"/>
  <c r="H61" i="10" s="1"/>
  <c r="F60" i="10"/>
  <c r="G60" i="10" s="1"/>
  <c r="H60" i="10" s="1"/>
  <c r="F59" i="10"/>
  <c r="G59" i="10" s="1"/>
  <c r="H59" i="10" s="1"/>
  <c r="F58" i="10"/>
  <c r="G58" i="10" s="1"/>
  <c r="H58" i="10" s="1"/>
  <c r="F57" i="10"/>
  <c r="G57" i="10" s="1"/>
  <c r="H57" i="10" s="1"/>
  <c r="F56" i="10"/>
  <c r="G56" i="10" s="1"/>
  <c r="H56" i="10" s="1"/>
  <c r="F55" i="10"/>
  <c r="G55" i="10" s="1"/>
  <c r="H55" i="10" s="1"/>
  <c r="F54" i="10"/>
  <c r="G54" i="10" s="1"/>
  <c r="H54" i="10" s="1"/>
  <c r="F53" i="10"/>
  <c r="G53" i="10" s="1"/>
  <c r="H53" i="10" s="1"/>
  <c r="F52" i="10"/>
  <c r="G52" i="10" s="1"/>
  <c r="H52" i="10" s="1"/>
  <c r="F51" i="10"/>
  <c r="G51" i="10" s="1"/>
  <c r="H51" i="10" s="1"/>
  <c r="F50" i="10"/>
  <c r="G50" i="10" s="1"/>
  <c r="H50" i="10" s="1"/>
  <c r="F49" i="10"/>
  <c r="G49" i="10" s="1"/>
  <c r="H49" i="10" s="1"/>
  <c r="F48" i="10"/>
  <c r="G48" i="10" s="1"/>
  <c r="H48" i="10" s="1"/>
  <c r="F47" i="10"/>
  <c r="G47" i="10" s="1"/>
  <c r="H47" i="10" s="1"/>
  <c r="F46" i="10"/>
  <c r="G46" i="10" s="1"/>
  <c r="H46" i="10" s="1"/>
  <c r="F45" i="10"/>
  <c r="G45" i="10" s="1"/>
  <c r="H45" i="10" s="1"/>
  <c r="F44" i="10"/>
  <c r="G44" i="10" s="1"/>
  <c r="H44" i="10" s="1"/>
  <c r="F43" i="10"/>
  <c r="G43" i="10" s="1"/>
  <c r="H43" i="10" s="1"/>
  <c r="F42" i="10"/>
  <c r="G42" i="10" s="1"/>
  <c r="H42" i="10" s="1"/>
  <c r="F41" i="10"/>
  <c r="G41" i="10" s="1"/>
  <c r="H41" i="10" s="1"/>
  <c r="F40" i="10"/>
  <c r="G40" i="10" s="1"/>
  <c r="H40" i="10" s="1"/>
  <c r="F39" i="10"/>
  <c r="G39" i="10" s="1"/>
  <c r="H39" i="10" s="1"/>
  <c r="F38" i="10"/>
  <c r="G38" i="10" s="1"/>
  <c r="H38" i="10" s="1"/>
  <c r="F37" i="10"/>
  <c r="G37" i="10" s="1"/>
  <c r="H37" i="10" s="1"/>
  <c r="F36" i="10"/>
  <c r="G36" i="10" s="1"/>
  <c r="H36" i="10" s="1"/>
  <c r="F35" i="10"/>
  <c r="G35" i="10" s="1"/>
  <c r="H35" i="10" s="1"/>
  <c r="F34" i="10"/>
  <c r="G34" i="10" s="1"/>
  <c r="H34" i="10" s="1"/>
  <c r="F33" i="10"/>
  <c r="G33" i="10" s="1"/>
  <c r="H33" i="10" s="1"/>
  <c r="F32" i="10"/>
  <c r="G32" i="10" s="1"/>
  <c r="H32" i="10" s="1"/>
  <c r="F31" i="10"/>
  <c r="G31" i="10" s="1"/>
  <c r="H31" i="10" s="1"/>
  <c r="F30" i="10"/>
  <c r="G30" i="10" s="1"/>
  <c r="H30" i="10" s="1"/>
  <c r="F29" i="10"/>
  <c r="G29" i="10" s="1"/>
  <c r="H29" i="10" s="1"/>
  <c r="F28" i="10"/>
  <c r="G28" i="10" s="1"/>
  <c r="H28" i="10" s="1"/>
  <c r="F27" i="10"/>
  <c r="G27" i="10" s="1"/>
  <c r="H27" i="10" s="1"/>
  <c r="F26" i="10"/>
  <c r="G26" i="10" s="1"/>
  <c r="H26" i="10" s="1"/>
  <c r="F25" i="10"/>
  <c r="G25" i="10" s="1"/>
  <c r="H25" i="10" s="1"/>
  <c r="F24" i="10"/>
  <c r="G24" i="10" s="1"/>
  <c r="H24" i="10" s="1"/>
  <c r="F23" i="10"/>
  <c r="G23" i="10" s="1"/>
  <c r="H23" i="10" s="1"/>
  <c r="F22" i="10"/>
  <c r="G22" i="10" s="1"/>
  <c r="H22" i="10" s="1"/>
  <c r="F21" i="10"/>
  <c r="G21" i="10" s="1"/>
  <c r="H21" i="10" s="1"/>
  <c r="F20" i="10"/>
  <c r="G20" i="10" s="1"/>
  <c r="H20" i="10" s="1"/>
  <c r="F19" i="10"/>
  <c r="G19" i="10" s="1"/>
  <c r="H19" i="10" s="1"/>
  <c r="F18" i="10"/>
  <c r="G18" i="10" s="1"/>
  <c r="H18" i="10" s="1"/>
  <c r="F17" i="10"/>
  <c r="G17" i="10" s="1"/>
  <c r="H17" i="10" s="1"/>
  <c r="F16" i="10"/>
  <c r="G16" i="10" s="1"/>
  <c r="H16" i="10" s="1"/>
  <c r="F15" i="10"/>
  <c r="G15" i="10" s="1"/>
  <c r="H15" i="10" s="1"/>
  <c r="F14" i="10"/>
  <c r="G14" i="10" s="1"/>
  <c r="H14" i="10" s="1"/>
  <c r="F13" i="10"/>
  <c r="G13" i="10" s="1"/>
  <c r="H13" i="10" s="1"/>
  <c r="F12" i="10"/>
  <c r="G12" i="10" s="1"/>
  <c r="H12" i="10" s="1"/>
  <c r="F11" i="10"/>
  <c r="G11" i="10" s="1"/>
  <c r="H11" i="10" s="1"/>
  <c r="F10" i="10"/>
  <c r="G10" i="10" s="1"/>
  <c r="H10" i="10" s="1"/>
  <c r="F9" i="10"/>
  <c r="G9" i="10" s="1"/>
  <c r="H9" i="10" s="1"/>
  <c r="F8" i="10"/>
  <c r="G8" i="10" s="1"/>
  <c r="H8" i="10" s="1"/>
  <c r="F7" i="10"/>
  <c r="G7" i="10" s="1"/>
  <c r="H7" i="10" s="1"/>
  <c r="B8" i="20"/>
  <c r="B9" i="20"/>
  <c r="B10" i="20"/>
  <c r="B11" i="20" s="1"/>
  <c r="B12" i="20" s="1"/>
  <c r="B13" i="20" s="1"/>
  <c r="B14" i="20" s="1"/>
  <c r="B15" i="20" s="1"/>
  <c r="B16" i="20" s="1"/>
  <c r="B17" i="20" s="1"/>
  <c r="B18" i="20" s="1"/>
  <c r="B19" i="20" s="1"/>
  <c r="B20" i="20" s="1"/>
  <c r="B21" i="20" s="1"/>
  <c r="B22" i="20" s="1"/>
  <c r="B23" i="20" s="1"/>
  <c r="B24" i="20" s="1"/>
  <c r="B25" i="20" s="1"/>
  <c r="B26" i="20" s="1"/>
  <c r="B27" i="20" s="1"/>
  <c r="B28" i="20" s="1"/>
  <c r="B29" i="20" s="1"/>
  <c r="B30" i="20" s="1"/>
  <c r="B31" i="20" s="1"/>
  <c r="B32" i="20" s="1"/>
  <c r="B33" i="20" s="1"/>
  <c r="B34" i="20" s="1"/>
  <c r="B35" i="20" s="1"/>
  <c r="B36" i="20" s="1"/>
  <c r="G12" i="1"/>
  <c r="Z39" i="9"/>
  <c r="Y39" i="9"/>
  <c r="X39" i="9"/>
  <c r="W39" i="9"/>
  <c r="V39" i="9"/>
  <c r="U39" i="9"/>
  <c r="T39" i="9"/>
  <c r="S39" i="9"/>
  <c r="R39" i="9"/>
  <c r="Q39" i="9"/>
  <c r="P39" i="9"/>
  <c r="O39" i="9"/>
  <c r="N39" i="9"/>
  <c r="M39" i="9"/>
  <c r="L39" i="9"/>
  <c r="K39" i="9"/>
  <c r="J39" i="9"/>
  <c r="I39" i="9"/>
  <c r="H39" i="9"/>
  <c r="G39" i="9"/>
  <c r="F39" i="9"/>
  <c r="E39" i="9"/>
  <c r="D39" i="9"/>
  <c r="C39" i="9"/>
  <c r="Y38" i="9"/>
  <c r="X38" i="9"/>
  <c r="W38" i="9"/>
  <c r="V38" i="9"/>
  <c r="U38" i="9"/>
  <c r="T38" i="9"/>
  <c r="S38" i="9"/>
  <c r="R38" i="9"/>
  <c r="Q38" i="9"/>
  <c r="P38" i="9"/>
  <c r="O38" i="9"/>
  <c r="N38" i="9"/>
  <c r="M38" i="9"/>
  <c r="L38" i="9"/>
  <c r="K38" i="9"/>
  <c r="J38" i="9"/>
  <c r="I38" i="9"/>
  <c r="H38" i="9"/>
  <c r="G38" i="9"/>
  <c r="F38" i="9"/>
  <c r="E38" i="9"/>
  <c r="D38" i="9"/>
  <c r="C38" i="9"/>
  <c r="X37" i="9"/>
  <c r="W37" i="9"/>
  <c r="V37" i="9"/>
  <c r="U37" i="9"/>
  <c r="T37" i="9"/>
  <c r="S37" i="9"/>
  <c r="R37" i="9"/>
  <c r="Q37" i="9"/>
  <c r="P37" i="9"/>
  <c r="O37" i="9"/>
  <c r="N37" i="9"/>
  <c r="M37" i="9"/>
  <c r="L37" i="9"/>
  <c r="K37" i="9"/>
  <c r="J37" i="9"/>
  <c r="I37" i="9"/>
  <c r="H37" i="9"/>
  <c r="G37" i="9"/>
  <c r="F37" i="9"/>
  <c r="E37" i="9"/>
  <c r="D37" i="9"/>
  <c r="C37" i="9"/>
  <c r="W36" i="9"/>
  <c r="V36" i="9"/>
  <c r="U36" i="9"/>
  <c r="T36" i="9"/>
  <c r="S36" i="9"/>
  <c r="R36" i="9"/>
  <c r="Q36" i="9"/>
  <c r="P36" i="9"/>
  <c r="O36" i="9"/>
  <c r="N36" i="9"/>
  <c r="M36" i="9"/>
  <c r="L36" i="9"/>
  <c r="K36" i="9"/>
  <c r="J36" i="9"/>
  <c r="I36" i="9"/>
  <c r="H36" i="9"/>
  <c r="G36" i="9"/>
  <c r="F36" i="9"/>
  <c r="E36" i="9"/>
  <c r="D36" i="9"/>
  <c r="C36" i="9"/>
  <c r="V35" i="9"/>
  <c r="U35" i="9"/>
  <c r="T35" i="9"/>
  <c r="S35" i="9"/>
  <c r="R35" i="9"/>
  <c r="Q35" i="9"/>
  <c r="P35" i="9"/>
  <c r="O35" i="9"/>
  <c r="N35" i="9"/>
  <c r="M35" i="9"/>
  <c r="L35" i="9"/>
  <c r="K35" i="9"/>
  <c r="J35" i="9"/>
  <c r="I35" i="9"/>
  <c r="H35" i="9"/>
  <c r="G35" i="9"/>
  <c r="F35" i="9"/>
  <c r="E35" i="9"/>
  <c r="D35" i="9"/>
  <c r="C35" i="9"/>
  <c r="U34" i="9"/>
  <c r="T34" i="9"/>
  <c r="S34" i="9"/>
  <c r="R34" i="9"/>
  <c r="Q34" i="9"/>
  <c r="P34" i="9"/>
  <c r="O34" i="9"/>
  <c r="N34" i="9"/>
  <c r="M34" i="9"/>
  <c r="L34" i="9"/>
  <c r="K34" i="9"/>
  <c r="J34" i="9"/>
  <c r="I34" i="9"/>
  <c r="H34" i="9"/>
  <c r="G34" i="9"/>
  <c r="F34" i="9"/>
  <c r="E34" i="9"/>
  <c r="D34" i="9"/>
  <c r="C34" i="9"/>
  <c r="T33" i="9"/>
  <c r="S33" i="9"/>
  <c r="R33" i="9"/>
  <c r="Q33" i="9"/>
  <c r="P33" i="9"/>
  <c r="O33" i="9"/>
  <c r="N33" i="9"/>
  <c r="M33" i="9"/>
  <c r="L33" i="9"/>
  <c r="K33" i="9"/>
  <c r="J33" i="9"/>
  <c r="I33" i="9"/>
  <c r="H33" i="9"/>
  <c r="G33" i="9"/>
  <c r="F33" i="9"/>
  <c r="E33" i="9"/>
  <c r="D33" i="9"/>
  <c r="C33" i="9"/>
  <c r="S32" i="9"/>
  <c r="R32" i="9"/>
  <c r="Q32" i="9"/>
  <c r="P32" i="9"/>
  <c r="O32" i="9"/>
  <c r="N32" i="9"/>
  <c r="M32" i="9"/>
  <c r="L32" i="9"/>
  <c r="K32" i="9"/>
  <c r="J32" i="9"/>
  <c r="I32" i="9"/>
  <c r="H32" i="9"/>
  <c r="G32" i="9"/>
  <c r="F32" i="9"/>
  <c r="E32" i="9"/>
  <c r="D32" i="9"/>
  <c r="C32" i="9"/>
  <c r="R31" i="9"/>
  <c r="Q31" i="9"/>
  <c r="P31" i="9"/>
  <c r="O31" i="9"/>
  <c r="N31" i="9"/>
  <c r="M31" i="9"/>
  <c r="L31" i="9"/>
  <c r="K31" i="9"/>
  <c r="J31" i="9"/>
  <c r="I31" i="9"/>
  <c r="H31" i="9"/>
  <c r="G31" i="9"/>
  <c r="F31" i="9"/>
  <c r="E31" i="9"/>
  <c r="D31" i="9"/>
  <c r="C31" i="9"/>
  <c r="Q30" i="9"/>
  <c r="P30" i="9"/>
  <c r="O30" i="9"/>
  <c r="N30" i="9"/>
  <c r="M30" i="9"/>
  <c r="L30" i="9"/>
  <c r="K30" i="9"/>
  <c r="J30" i="9"/>
  <c r="I30" i="9"/>
  <c r="H30" i="9"/>
  <c r="G30" i="9"/>
  <c r="F30" i="9"/>
  <c r="E30" i="9"/>
  <c r="D30" i="9"/>
  <c r="C30" i="9"/>
  <c r="P29" i="9"/>
  <c r="O29" i="9"/>
  <c r="N29" i="9"/>
  <c r="M29" i="9"/>
  <c r="L29" i="9"/>
  <c r="K29" i="9"/>
  <c r="J29" i="9"/>
  <c r="I29" i="9"/>
  <c r="H29" i="9"/>
  <c r="G29" i="9"/>
  <c r="F29" i="9"/>
  <c r="E29" i="9"/>
  <c r="D29" i="9"/>
  <c r="C29" i="9"/>
  <c r="O28" i="9"/>
  <c r="N28" i="9"/>
  <c r="M28" i="9"/>
  <c r="L28" i="9"/>
  <c r="K28" i="9"/>
  <c r="J28" i="9"/>
  <c r="I28" i="9"/>
  <c r="H28" i="9"/>
  <c r="G28" i="9"/>
  <c r="F28" i="9"/>
  <c r="E28" i="9"/>
  <c r="D28" i="9"/>
  <c r="C28" i="9"/>
  <c r="N27" i="9"/>
  <c r="M27" i="9"/>
  <c r="L27" i="9"/>
  <c r="K27" i="9"/>
  <c r="J27" i="9"/>
  <c r="I27" i="9"/>
  <c r="H27" i="9"/>
  <c r="G27" i="9"/>
  <c r="F27" i="9"/>
  <c r="E27" i="9"/>
  <c r="D27" i="9"/>
  <c r="C27" i="9"/>
  <c r="M26" i="9"/>
  <c r="L26" i="9"/>
  <c r="K26" i="9"/>
  <c r="J26" i="9"/>
  <c r="I26" i="9"/>
  <c r="H26" i="9"/>
  <c r="G26" i="9"/>
  <c r="F26" i="9"/>
  <c r="E26" i="9"/>
  <c r="D26" i="9"/>
  <c r="C26" i="9"/>
  <c r="L25" i="9"/>
  <c r="K25" i="9"/>
  <c r="J25" i="9"/>
  <c r="I25" i="9"/>
  <c r="H25" i="9"/>
  <c r="G25" i="9"/>
  <c r="F25" i="9"/>
  <c r="E25" i="9"/>
  <c r="D25" i="9"/>
  <c r="C25" i="9"/>
  <c r="K24" i="9"/>
  <c r="J24" i="9"/>
  <c r="I24" i="9"/>
  <c r="H24" i="9"/>
  <c r="G24" i="9"/>
  <c r="F24" i="9"/>
  <c r="E24" i="9"/>
  <c r="D24" i="9"/>
  <c r="C24" i="9"/>
  <c r="J23" i="9"/>
  <c r="I23" i="9"/>
  <c r="H23" i="9"/>
  <c r="G23" i="9"/>
  <c r="F23" i="9"/>
  <c r="E23" i="9"/>
  <c r="D23" i="9"/>
  <c r="C23" i="9"/>
  <c r="I22" i="9"/>
  <c r="H22" i="9"/>
  <c r="G22" i="9"/>
  <c r="F22" i="9"/>
  <c r="E22" i="9"/>
  <c r="D22" i="9"/>
  <c r="C22" i="9"/>
  <c r="H21" i="9"/>
  <c r="G21" i="9"/>
  <c r="F21" i="9"/>
  <c r="E21" i="9"/>
  <c r="D21" i="9"/>
  <c r="C21" i="9"/>
  <c r="G20" i="9"/>
  <c r="F20" i="9"/>
  <c r="E20" i="9"/>
  <c r="D20" i="9"/>
  <c r="C20" i="9"/>
  <c r="F19" i="9"/>
  <c r="E19" i="9"/>
  <c r="D19" i="9"/>
  <c r="C19" i="9"/>
  <c r="E18" i="9"/>
  <c r="D18" i="9"/>
  <c r="C18" i="9"/>
  <c r="D17" i="9"/>
  <c r="C17" i="9"/>
  <c r="C16" i="9"/>
  <c r="B39" i="9"/>
  <c r="B38" i="9"/>
  <c r="B37" i="9"/>
  <c r="B36" i="9"/>
  <c r="B35" i="9"/>
  <c r="B34" i="9"/>
  <c r="B33" i="9"/>
  <c r="B32" i="9"/>
  <c r="B31" i="9"/>
  <c r="B30" i="9"/>
  <c r="B29" i="9"/>
  <c r="B28" i="9"/>
  <c r="B27" i="9"/>
  <c r="B26" i="9"/>
  <c r="B25" i="9"/>
  <c r="B24" i="9"/>
  <c r="B23" i="9"/>
  <c r="B22" i="9"/>
  <c r="B21" i="9"/>
  <c r="B20" i="9"/>
  <c r="B19" i="9"/>
  <c r="B18" i="9"/>
  <c r="B17" i="9"/>
  <c r="B16" i="9"/>
  <c r="B15" i="9"/>
  <c r="U9" i="20" l="1"/>
  <c r="V9" i="20" s="1"/>
  <c r="U8" i="20"/>
  <c r="V8" i="20" s="1"/>
  <c r="W8" i="20" s="1"/>
  <c r="U10" i="20"/>
  <c r="V10" i="20" s="1"/>
  <c r="W10" i="20" s="1"/>
  <c r="U11" i="20"/>
  <c r="V11" i="20" s="1"/>
  <c r="B37" i="20"/>
  <c r="B38" i="20" s="1"/>
  <c r="B39" i="20" s="1"/>
  <c r="B40" i="20" s="1"/>
  <c r="B41" i="20" s="1"/>
  <c r="B42" i="20" s="1"/>
  <c r="B43" i="20" s="1"/>
  <c r="B44" i="20" s="1"/>
  <c r="B45" i="20" s="1"/>
  <c r="B46" i="20" s="1"/>
  <c r="B47" i="20" s="1"/>
  <c r="B48" i="20" s="1"/>
  <c r="B49" i="20" s="1"/>
  <c r="B50" i="20" s="1"/>
  <c r="B51" i="20" s="1"/>
  <c r="B52" i="20" s="1"/>
  <c r="B53" i="20" s="1"/>
  <c r="B54" i="20" s="1"/>
  <c r="B55" i="20" s="1"/>
  <c r="B56" i="20" s="1"/>
  <c r="B57" i="20" s="1"/>
  <c r="B58" i="20" s="1"/>
  <c r="B59" i="20" s="1"/>
  <c r="B60" i="20" s="1"/>
  <c r="B61" i="20" s="1"/>
  <c r="B62" i="20" s="1"/>
  <c r="B63" i="20" s="1"/>
  <c r="B64" i="20" s="1"/>
  <c r="B65" i="20" s="1"/>
  <c r="U12" i="20"/>
  <c r="V12" i="20" s="1"/>
  <c r="A5" i="10"/>
  <c r="T13" i="20"/>
  <c r="U13" i="20" s="1"/>
  <c r="E9" i="10"/>
  <c r="F10" i="22"/>
  <c r="D4" i="12"/>
  <c r="B4" i="22" s="1"/>
  <c r="E8" i="8"/>
  <c r="W12" i="20" l="1"/>
  <c r="W11" i="20"/>
  <c r="W9" i="20"/>
  <c r="T14" i="20"/>
  <c r="U14" i="20" s="1"/>
  <c r="V13" i="20"/>
  <c r="W13" i="20" s="1"/>
  <c r="E8" i="1"/>
  <c r="A5" i="9" s="1"/>
  <c r="A8" i="9" s="1"/>
  <c r="A10" i="22"/>
  <c r="A9" i="22" s="1"/>
  <c r="E10" i="10"/>
  <c r="F11" i="22"/>
  <c r="A7" i="10"/>
  <c r="A9" i="10"/>
  <c r="T15" i="20" l="1"/>
  <c r="U15" i="20" s="1"/>
  <c r="V14" i="20"/>
  <c r="W14" i="20" s="1"/>
  <c r="A6" i="9"/>
  <c r="E14" i="1" s="1"/>
  <c r="D5" i="12" s="1"/>
  <c r="D6" i="12" s="1"/>
  <c r="C4" i="9" s="1"/>
  <c r="A11" i="22"/>
  <c r="K8" i="22"/>
  <c r="K9" i="22" s="1"/>
  <c r="K10" i="22" s="1"/>
  <c r="K11" i="22" s="1"/>
  <c r="K12" i="22" s="1"/>
  <c r="K1" i="22"/>
  <c r="E11" i="10"/>
  <c r="F12" i="22"/>
  <c r="A6" i="10"/>
  <c r="N6" i="10"/>
  <c r="J9" i="10"/>
  <c r="J10" i="10" s="1"/>
  <c r="J11" i="10" s="1"/>
  <c r="J12" i="10" s="1"/>
  <c r="J8" i="10"/>
  <c r="Q18" i="22" l="1"/>
  <c r="Q30" i="22"/>
  <c r="Q42" i="22"/>
  <c r="Q54" i="22"/>
  <c r="Q66" i="22"/>
  <c r="Q78" i="22"/>
  <c r="Q90" i="22"/>
  <c r="Q102" i="22"/>
  <c r="Q114" i="22"/>
  <c r="Q126" i="22"/>
  <c r="Q19" i="22"/>
  <c r="Q43" i="22"/>
  <c r="Q55" i="22"/>
  <c r="Q67" i="22"/>
  <c r="Q91" i="22"/>
  <c r="Q103" i="22"/>
  <c r="Q127" i="22"/>
  <c r="Q92" i="22"/>
  <c r="Q116" i="22"/>
  <c r="Q9" i="22"/>
  <c r="Q45" i="22"/>
  <c r="Q69" i="22"/>
  <c r="Q117" i="22"/>
  <c r="Q71" i="22"/>
  <c r="Q119" i="22"/>
  <c r="Q84" i="22"/>
  <c r="Q85" i="22"/>
  <c r="Q74" i="22"/>
  <c r="Q64" i="22"/>
  <c r="Q41" i="22"/>
  <c r="Q7" i="22"/>
  <c r="Q31" i="22"/>
  <c r="Q79" i="22"/>
  <c r="Q115" i="22"/>
  <c r="Q21" i="22"/>
  <c r="Q57" i="22"/>
  <c r="Q105" i="22"/>
  <c r="Q83" i="22"/>
  <c r="Q107" i="22"/>
  <c r="Q24" i="22"/>
  <c r="Q120" i="22"/>
  <c r="Q26" i="22"/>
  <c r="Q122" i="22"/>
  <c r="Q123" i="22"/>
  <c r="Q8" i="22"/>
  <c r="Q20" i="22"/>
  <c r="Q32" i="22"/>
  <c r="Q44" i="22"/>
  <c r="Q56" i="22"/>
  <c r="Q68" i="22"/>
  <c r="Q80" i="22"/>
  <c r="Q104" i="22"/>
  <c r="Q33" i="22"/>
  <c r="Q81" i="22"/>
  <c r="Q95" i="22"/>
  <c r="Q36" i="22"/>
  <c r="Q108" i="22"/>
  <c r="Q50" i="22"/>
  <c r="Q99" i="22"/>
  <c r="Q124" i="22"/>
  <c r="Q101" i="22"/>
  <c r="Q93" i="22"/>
  <c r="Q12" i="22"/>
  <c r="Q14" i="22"/>
  <c r="Q87" i="22"/>
  <c r="Q113" i="22"/>
  <c r="Q10" i="22"/>
  <c r="Q22" i="22"/>
  <c r="Q34" i="22"/>
  <c r="Q46" i="22"/>
  <c r="Q58" i="22"/>
  <c r="Q70" i="22"/>
  <c r="Q82" i="22"/>
  <c r="Q94" i="22"/>
  <c r="Q106" i="22"/>
  <c r="Q118" i="22"/>
  <c r="Q11" i="22"/>
  <c r="Q35" i="22"/>
  <c r="Q59" i="22"/>
  <c r="Q60" i="22"/>
  <c r="Q96" i="22"/>
  <c r="Q109" i="22"/>
  <c r="Q62" i="22"/>
  <c r="Q75" i="22"/>
  <c r="Q88" i="22"/>
  <c r="Q17" i="22"/>
  <c r="Q23" i="22"/>
  <c r="Q47" i="22"/>
  <c r="Q72" i="22"/>
  <c r="Q121" i="22"/>
  <c r="Q86" i="22"/>
  <c r="Q76" i="22"/>
  <c r="Q77" i="22"/>
  <c r="Q48" i="22"/>
  <c r="Q38" i="22"/>
  <c r="Q110" i="22"/>
  <c r="Q111" i="22"/>
  <c r="Q29" i="22"/>
  <c r="Q13" i="22"/>
  <c r="Q25" i="22"/>
  <c r="Q37" i="22"/>
  <c r="Q49" i="22"/>
  <c r="Q61" i="22"/>
  <c r="Q73" i="22"/>
  <c r="Q97" i="22"/>
  <c r="Q51" i="22"/>
  <c r="Q112" i="22"/>
  <c r="Q125" i="22"/>
  <c r="Q98" i="22"/>
  <c r="Q100" i="22"/>
  <c r="Q89" i="22"/>
  <c r="Q15" i="22"/>
  <c r="Q27" i="22"/>
  <c r="Q39" i="22"/>
  <c r="Q63" i="22"/>
  <c r="Q53" i="22"/>
  <c r="Q16" i="22"/>
  <c r="Q28" i="22"/>
  <c r="Q40" i="22"/>
  <c r="Q52" i="22"/>
  <c r="Q65" i="22"/>
  <c r="M9" i="22"/>
  <c r="M10" i="22"/>
  <c r="M11" i="22"/>
  <c r="M12" i="22"/>
  <c r="M8" i="22"/>
  <c r="A7" i="9"/>
  <c r="T16" i="20"/>
  <c r="U16" i="20" s="1"/>
  <c r="V15" i="20"/>
  <c r="W15" i="20" s="1"/>
  <c r="L11" i="22" a="1"/>
  <c r="L11" i="22" s="1"/>
  <c r="N11" i="22" s="1"/>
  <c r="L9" i="22" a="1"/>
  <c r="L9" i="22" s="1"/>
  <c r="N9" i="22" s="1"/>
  <c r="L8" i="22" a="1"/>
  <c r="L8" i="22" s="1"/>
  <c r="N8" i="22" s="1"/>
  <c r="L10" i="22" a="1"/>
  <c r="L10" i="22" s="1"/>
  <c r="N10" i="22" s="1"/>
  <c r="R8" i="22"/>
  <c r="R1" i="22"/>
  <c r="R9" i="22"/>
  <c r="R10" i="22"/>
  <c r="R11" i="22"/>
  <c r="R12" i="22" s="1"/>
  <c r="R13" i="22" s="1"/>
  <c r="M16" i="10"/>
  <c r="M17" i="10"/>
  <c r="M8" i="10"/>
  <c r="M9" i="10"/>
  <c r="M14" i="10"/>
  <c r="M15" i="10"/>
  <c r="M10" i="10"/>
  <c r="M12" i="10"/>
  <c r="M11" i="10"/>
  <c r="M13" i="10"/>
  <c r="L7" i="10"/>
  <c r="L8" i="10"/>
  <c r="K8" i="10" a="1"/>
  <c r="K8" i="10" s="1"/>
  <c r="L9" i="10"/>
  <c r="K9" i="10" a="1"/>
  <c r="K9" i="10" s="1"/>
  <c r="L10" i="10"/>
  <c r="L11" i="10"/>
  <c r="K11" i="10" a="1"/>
  <c r="K11" i="10" s="1"/>
  <c r="K10" i="10" a="1"/>
  <c r="K10" i="10" s="1"/>
  <c r="E12" i="10"/>
  <c r="L12" i="22" a="1"/>
  <c r="L12" i="22" s="1"/>
  <c r="N12" i="22" s="1"/>
  <c r="K13" i="22"/>
  <c r="F13" i="22"/>
  <c r="M13" i="22" s="1"/>
  <c r="B5" i="9"/>
  <c r="C9" i="9"/>
  <c r="N11" i="10"/>
  <c r="N8" i="10"/>
  <c r="N7" i="10"/>
  <c r="O8" i="10" s="1"/>
  <c r="N9" i="10"/>
  <c r="N10" i="10"/>
  <c r="P8" i="10"/>
  <c r="P9" i="10"/>
  <c r="T6" i="10"/>
  <c r="P10" i="10"/>
  <c r="P11" i="10" s="1"/>
  <c r="P12" i="10" s="1"/>
  <c r="P13" i="10" s="1"/>
  <c r="O9" i="10" l="1"/>
  <c r="X8" i="22"/>
  <c r="X20" i="22"/>
  <c r="X32" i="22"/>
  <c r="X44" i="22"/>
  <c r="X56" i="22"/>
  <c r="X68" i="22"/>
  <c r="X80" i="22"/>
  <c r="X92" i="22"/>
  <c r="X104" i="22"/>
  <c r="X116" i="22"/>
  <c r="X7" i="22"/>
  <c r="X107" i="22"/>
  <c r="X127" i="22"/>
  <c r="X9" i="22"/>
  <c r="X21" i="22"/>
  <c r="X33" i="22"/>
  <c r="X45" i="22"/>
  <c r="X57" i="22"/>
  <c r="X69" i="22"/>
  <c r="X81" i="22"/>
  <c r="X93" i="22"/>
  <c r="X105" i="22"/>
  <c r="X117" i="22"/>
  <c r="X83" i="22"/>
  <c r="X43" i="22"/>
  <c r="X10" i="22"/>
  <c r="X22" i="22"/>
  <c r="X34" i="22"/>
  <c r="X46" i="22"/>
  <c r="X58" i="22"/>
  <c r="X70" i="22"/>
  <c r="X82" i="22"/>
  <c r="X94" i="22"/>
  <c r="X106" i="22"/>
  <c r="X118" i="22"/>
  <c r="X95" i="22"/>
  <c r="X115" i="22"/>
  <c r="X11" i="22"/>
  <c r="X23" i="22"/>
  <c r="X35" i="22"/>
  <c r="X47" i="22"/>
  <c r="X59" i="22"/>
  <c r="X71" i="22"/>
  <c r="X119" i="22"/>
  <c r="X19" i="22"/>
  <c r="X12" i="22"/>
  <c r="X24" i="22"/>
  <c r="X36" i="22"/>
  <c r="X48" i="22"/>
  <c r="X60" i="22"/>
  <c r="X72" i="22"/>
  <c r="X84" i="22"/>
  <c r="X96" i="22"/>
  <c r="X108" i="22"/>
  <c r="X120" i="22"/>
  <c r="X13" i="22"/>
  <c r="X25" i="22"/>
  <c r="X37" i="22"/>
  <c r="X49" i="22"/>
  <c r="X61" i="22"/>
  <c r="X73" i="22"/>
  <c r="X85" i="22"/>
  <c r="X97" i="22"/>
  <c r="X109" i="22"/>
  <c r="X121" i="22"/>
  <c r="X67" i="22"/>
  <c r="X14" i="22"/>
  <c r="X26" i="22"/>
  <c r="X38" i="22"/>
  <c r="X50" i="22"/>
  <c r="X62" i="22"/>
  <c r="X74" i="22"/>
  <c r="X86" i="22"/>
  <c r="X98" i="22"/>
  <c r="X110" i="22"/>
  <c r="X122" i="22"/>
  <c r="X31" i="22"/>
  <c r="X15" i="22"/>
  <c r="X27" i="22"/>
  <c r="X39" i="22"/>
  <c r="X51" i="22"/>
  <c r="X63" i="22"/>
  <c r="X75" i="22"/>
  <c r="X87" i="22"/>
  <c r="X99" i="22"/>
  <c r="X111" i="22"/>
  <c r="X123" i="22"/>
  <c r="X103" i="22"/>
  <c r="X16" i="22"/>
  <c r="X28" i="22"/>
  <c r="X40" i="22"/>
  <c r="X52" i="22"/>
  <c r="X64" i="22"/>
  <c r="X76" i="22"/>
  <c r="X88" i="22"/>
  <c r="X100" i="22"/>
  <c r="X112" i="22"/>
  <c r="X124" i="22"/>
  <c r="X55" i="22"/>
  <c r="X17" i="22"/>
  <c r="X29" i="22"/>
  <c r="X41" i="22"/>
  <c r="X53" i="22"/>
  <c r="X65" i="22"/>
  <c r="X77" i="22"/>
  <c r="X89" i="22"/>
  <c r="X101" i="22"/>
  <c r="X113" i="22"/>
  <c r="X125" i="22"/>
  <c r="X79" i="22"/>
  <c r="X18" i="22"/>
  <c r="X30" i="22"/>
  <c r="X42" i="22"/>
  <c r="X54" i="22"/>
  <c r="X66" i="22"/>
  <c r="X78" i="22"/>
  <c r="X90" i="22"/>
  <c r="X102" i="22"/>
  <c r="X114" i="22"/>
  <c r="X126" i="22"/>
  <c r="X91" i="22"/>
  <c r="O10" i="10"/>
  <c r="O11" i="10" s="1"/>
  <c r="O12" i="10" s="1"/>
  <c r="B7" i="9"/>
  <c r="T9" i="22"/>
  <c r="T10" i="22"/>
  <c r="T11" i="22"/>
  <c r="T12" i="22"/>
  <c r="T8" i="22"/>
  <c r="U8" i="22" s="1"/>
  <c r="T13" i="22"/>
  <c r="T17" i="20"/>
  <c r="U17" i="20" s="1"/>
  <c r="V16" i="20"/>
  <c r="W16" i="20" s="1"/>
  <c r="U11" i="22"/>
  <c r="S8" i="22" a="1"/>
  <c r="S8" i="22" s="1"/>
  <c r="S11" i="22" a="1"/>
  <c r="S11" i="22" s="1"/>
  <c r="U10" i="22"/>
  <c r="S13" i="22" a="1"/>
  <c r="S13" i="22" s="1"/>
  <c r="S10" i="22" a="1"/>
  <c r="S10" i="22" s="1"/>
  <c r="S9" i="22" a="1"/>
  <c r="S9" i="22" s="1"/>
  <c r="U9" i="22" s="1"/>
  <c r="S12" i="22" a="1"/>
  <c r="S12" i="22" s="1"/>
  <c r="U12" i="22" s="1"/>
  <c r="U13" i="22"/>
  <c r="S16" i="10"/>
  <c r="R16" i="10"/>
  <c r="S17" i="10"/>
  <c r="R17" i="10"/>
  <c r="S8" i="10"/>
  <c r="R8" i="10"/>
  <c r="S9" i="10"/>
  <c r="R9" i="10"/>
  <c r="R12" i="10"/>
  <c r="S14" i="10"/>
  <c r="S10" i="10"/>
  <c r="S12" i="10"/>
  <c r="R13" i="10"/>
  <c r="S11" i="10"/>
  <c r="R10" i="10"/>
  <c r="R11" i="10"/>
  <c r="S13" i="10"/>
  <c r="S15" i="10"/>
  <c r="R14" i="10"/>
  <c r="R15" i="10"/>
  <c r="L12" i="10"/>
  <c r="Q12" i="10" a="1"/>
  <c r="Q12" i="10" s="1"/>
  <c r="K12" i="10" a="1"/>
  <c r="K12" i="10" s="1"/>
  <c r="Q8" i="10" a="1"/>
  <c r="Q8" i="10" s="1"/>
  <c r="Q9" i="10" a="1"/>
  <c r="Q9" i="10" s="1"/>
  <c r="Q10" i="10" a="1"/>
  <c r="Q10" i="10" s="1"/>
  <c r="Q11" i="10" a="1"/>
  <c r="Q11" i="10" s="1"/>
  <c r="N12" i="10"/>
  <c r="E13" i="10"/>
  <c r="J13" i="10"/>
  <c r="L13" i="22" a="1"/>
  <c r="L13" i="22" s="1"/>
  <c r="N13" i="22" s="1"/>
  <c r="K14" i="22"/>
  <c r="R14" i="22"/>
  <c r="F14" i="22"/>
  <c r="C5" i="9"/>
  <c r="B6" i="9"/>
  <c r="T11" i="10"/>
  <c r="T9" i="10"/>
  <c r="T12" i="10"/>
  <c r="T7" i="10"/>
  <c r="U8" i="10" s="1"/>
  <c r="T10" i="10"/>
  <c r="T8" i="10"/>
  <c r="U9" i="10" l="1"/>
  <c r="U10" i="10" s="1"/>
  <c r="U11" i="10" s="1"/>
  <c r="U12" i="10" s="1"/>
  <c r="U13" i="10" s="1"/>
  <c r="O13" i="10"/>
  <c r="M14" i="22"/>
  <c r="T14" i="22"/>
  <c r="S14" i="22" a="1"/>
  <c r="S14" i="22" s="1"/>
  <c r="U14" i="22"/>
  <c r="B8" i="9"/>
  <c r="T18" i="20"/>
  <c r="U18" i="20" s="1"/>
  <c r="V17" i="20"/>
  <c r="W17" i="20" s="1"/>
  <c r="T13" i="10"/>
  <c r="L13" i="10"/>
  <c r="Q13" i="10" a="1"/>
  <c r="Q13" i="10" s="1"/>
  <c r="K13" i="10" a="1"/>
  <c r="K13" i="10" s="1"/>
  <c r="J14" i="10"/>
  <c r="E14" i="10"/>
  <c r="N13" i="10"/>
  <c r="P14" i="10"/>
  <c r="P15" i="10" s="1"/>
  <c r="L14" i="22" a="1"/>
  <c r="L14" i="22" s="1"/>
  <c r="N14" i="22" s="1"/>
  <c r="R15" i="22"/>
  <c r="K15" i="22"/>
  <c r="F15" i="22"/>
  <c r="C7" i="9"/>
  <c r="C6" i="9"/>
  <c r="U14" i="10" l="1"/>
  <c r="O14" i="10"/>
  <c r="M15" i="22"/>
  <c r="S15" i="22" a="1"/>
  <c r="S15" i="22" s="1"/>
  <c r="T15" i="22"/>
  <c r="U15" i="22" s="1"/>
  <c r="T19" i="20"/>
  <c r="U19" i="20" s="1"/>
  <c r="V18" i="20"/>
  <c r="W18" i="20" s="1"/>
  <c r="L14" i="10"/>
  <c r="Q14" i="10" a="1"/>
  <c r="Q14" i="10" s="1"/>
  <c r="K14" i="10" a="1"/>
  <c r="K14" i="10" s="1"/>
  <c r="E15" i="10"/>
  <c r="N14" i="10"/>
  <c r="T14" i="10"/>
  <c r="U15" i="10" s="1"/>
  <c r="J15" i="10"/>
  <c r="L15" i="22" a="1"/>
  <c r="L15" i="22" s="1"/>
  <c r="N15" i="22" s="1"/>
  <c r="K16" i="22"/>
  <c r="R16" i="22"/>
  <c r="F16" i="22"/>
  <c r="C8" i="9"/>
  <c r="C10" i="9" s="1"/>
  <c r="O15" i="10" l="1"/>
  <c r="M16" i="22"/>
  <c r="T16" i="22"/>
  <c r="U16" i="22"/>
  <c r="S16" i="22" a="1"/>
  <c r="S16" i="22" s="1"/>
  <c r="T20" i="20"/>
  <c r="U20" i="20" s="1"/>
  <c r="V19" i="20"/>
  <c r="W19" i="20" s="1"/>
  <c r="K15" i="10" a="1"/>
  <c r="K15" i="10" s="1"/>
  <c r="L15" i="10"/>
  <c r="Q15" i="10" a="1"/>
  <c r="Q15" i="10" s="1"/>
  <c r="J16" i="10"/>
  <c r="N15" i="10"/>
  <c r="T15" i="10"/>
  <c r="U16" i="10" s="1"/>
  <c r="P16" i="10"/>
  <c r="L16" i="22" a="1"/>
  <c r="L16" i="22" s="1"/>
  <c r="N16" i="22" s="1"/>
  <c r="K17" i="22"/>
  <c r="R17" i="22"/>
  <c r="F17" i="22"/>
  <c r="E15" i="1"/>
  <c r="D7" i="12"/>
  <c r="B5" i="22" s="1"/>
  <c r="O16" i="10" l="1"/>
  <c r="M17" i="22"/>
  <c r="S17" i="22" a="1"/>
  <c r="S17" i="22" s="1"/>
  <c r="U17" i="22" s="1"/>
  <c r="T17" i="22"/>
  <c r="T21" i="20"/>
  <c r="U21" i="20" s="1"/>
  <c r="V20" i="20"/>
  <c r="W20" i="20" s="1"/>
  <c r="Q16" i="10" a="1"/>
  <c r="Q16" i="10" s="1"/>
  <c r="K16" i="10" a="1"/>
  <c r="K16" i="10" s="1"/>
  <c r="L16" i="10"/>
  <c r="P17" i="10"/>
  <c r="J17" i="10"/>
  <c r="N16" i="10"/>
  <c r="T16" i="10"/>
  <c r="U17" i="10" s="1"/>
  <c r="L17" i="22" a="1"/>
  <c r="L17" i="22" s="1"/>
  <c r="N17" i="22" s="1"/>
  <c r="C8" i="22"/>
  <c r="K18" i="22"/>
  <c r="R18" i="22"/>
  <c r="F18" i="22"/>
  <c r="O17" i="10" l="1"/>
  <c r="M18" i="22"/>
  <c r="S18" i="22" a="1"/>
  <c r="S18" i="22" s="1"/>
  <c r="T18" i="22"/>
  <c r="U18" i="22"/>
  <c r="T22" i="20"/>
  <c r="U22" i="20" s="1"/>
  <c r="V21" i="20"/>
  <c r="W21" i="20" s="1"/>
  <c r="Q17" i="10" a="1"/>
  <c r="Q17" i="10" s="1"/>
  <c r="K17" i="10" a="1"/>
  <c r="K17" i="10" s="1"/>
  <c r="L17" i="10"/>
  <c r="E18" i="10"/>
  <c r="N17" i="10"/>
  <c r="O18" i="10" s="1"/>
  <c r="T17" i="10"/>
  <c r="U18" i="10" s="1"/>
  <c r="P18" i="10"/>
  <c r="J18" i="10"/>
  <c r="L18" i="22" a="1"/>
  <c r="L18" i="22" s="1"/>
  <c r="N18" i="22" s="1"/>
  <c r="K19" i="22"/>
  <c r="R19" i="22"/>
  <c r="F19" i="22"/>
  <c r="M18" i="10" l="1"/>
  <c r="R18" i="10"/>
  <c r="S18" i="10"/>
  <c r="M19" i="22"/>
  <c r="T19" i="22"/>
  <c r="S19" i="22" a="1"/>
  <c r="S19" i="22" s="1"/>
  <c r="U19" i="22"/>
  <c r="T23" i="20"/>
  <c r="U23" i="20" s="1"/>
  <c r="V22" i="20"/>
  <c r="W22" i="20" s="1"/>
  <c r="Q18" i="10" a="1"/>
  <c r="Q18" i="10" s="1"/>
  <c r="K18" i="10" a="1"/>
  <c r="K18" i="10" s="1"/>
  <c r="L18" i="10"/>
  <c r="T18" i="10"/>
  <c r="U19" i="10" s="1"/>
  <c r="J19" i="10"/>
  <c r="P19" i="10"/>
  <c r="E19" i="10"/>
  <c r="N18" i="10"/>
  <c r="O19" i="10" s="1"/>
  <c r="L19" i="22" a="1"/>
  <c r="L19" i="22" s="1"/>
  <c r="N19" i="22" s="1"/>
  <c r="K20" i="22"/>
  <c r="R20" i="22"/>
  <c r="B8" i="22"/>
  <c r="F20" i="22"/>
  <c r="M19" i="10" l="1"/>
  <c r="R19" i="10"/>
  <c r="S19" i="10"/>
  <c r="M20" i="22"/>
  <c r="T20" i="22"/>
  <c r="U20" i="22" s="1"/>
  <c r="S20" i="22" a="1"/>
  <c r="S20" i="22" s="1"/>
  <c r="T24" i="20"/>
  <c r="U24" i="20" s="1"/>
  <c r="V23" i="20"/>
  <c r="W23" i="20" s="1"/>
  <c r="K19" i="10" a="1"/>
  <c r="K19" i="10" s="1"/>
  <c r="Q19" i="10" a="1"/>
  <c r="Q19" i="10" s="1"/>
  <c r="L19" i="10"/>
  <c r="T19" i="10"/>
  <c r="U20" i="10" s="1"/>
  <c r="N19" i="10"/>
  <c r="O20" i="10" s="1"/>
  <c r="E20" i="10"/>
  <c r="P20" i="10"/>
  <c r="J20" i="10"/>
  <c r="V5" i="22"/>
  <c r="L20" i="22" a="1"/>
  <c r="L20" i="22" s="1"/>
  <c r="N20" i="22" s="1"/>
  <c r="K21" i="22"/>
  <c r="R21" i="22"/>
  <c r="D8" i="22"/>
  <c r="O5" i="22"/>
  <c r="F21" i="22"/>
  <c r="M20" i="10" l="1"/>
  <c r="S20" i="10"/>
  <c r="R20" i="10"/>
  <c r="M21" i="22"/>
  <c r="T21" i="22"/>
  <c r="U21" i="22"/>
  <c r="S21" i="22" a="1"/>
  <c r="S21" i="22" s="1"/>
  <c r="T25" i="20"/>
  <c r="U25" i="20" s="1"/>
  <c r="V24" i="20"/>
  <c r="W24" i="20" s="1"/>
  <c r="K20" i="10" a="1"/>
  <c r="K20" i="10" s="1"/>
  <c r="Q20" i="10" a="1"/>
  <c r="Q20" i="10" s="1"/>
  <c r="L20" i="10"/>
  <c r="N20" i="10"/>
  <c r="O21" i="10" s="1"/>
  <c r="T20" i="10"/>
  <c r="U21" i="10" s="1"/>
  <c r="P21" i="10"/>
  <c r="J21" i="10"/>
  <c r="E21" i="10"/>
  <c r="L21" i="22" a="1"/>
  <c r="L21" i="22" s="1"/>
  <c r="N21" i="22" s="1"/>
  <c r="R22" i="22"/>
  <c r="K22" i="22"/>
  <c r="W6" i="22"/>
  <c r="P6" i="22"/>
  <c r="O16" i="22"/>
  <c r="O20" i="22"/>
  <c r="O17" i="22"/>
  <c r="O18" i="22"/>
  <c r="O19" i="22"/>
  <c r="O11" i="22"/>
  <c r="O7" i="22"/>
  <c r="O15" i="22"/>
  <c r="O14" i="22"/>
  <c r="O13" i="22"/>
  <c r="O12" i="22"/>
  <c r="O10" i="22"/>
  <c r="O9" i="22"/>
  <c r="O8" i="22"/>
  <c r="O21" i="22"/>
  <c r="F22" i="22"/>
  <c r="M21" i="10" l="1"/>
  <c r="S21" i="10"/>
  <c r="R21" i="10"/>
  <c r="M22" i="22"/>
  <c r="S22" i="22" a="1"/>
  <c r="S22" i="22" s="1"/>
  <c r="U22" i="22" s="1"/>
  <c r="T22" i="22"/>
  <c r="T26" i="20"/>
  <c r="U26" i="20" s="1"/>
  <c r="V25" i="20"/>
  <c r="W25" i="20" s="1"/>
  <c r="L21" i="10"/>
  <c r="K21" i="10" a="1"/>
  <c r="K21" i="10" s="1"/>
  <c r="Q21" i="10" a="1"/>
  <c r="Q21" i="10" s="1"/>
  <c r="J22" i="10"/>
  <c r="P22" i="10"/>
  <c r="T21" i="10"/>
  <c r="U22" i="10" s="1"/>
  <c r="E22" i="10"/>
  <c r="N21" i="10"/>
  <c r="O22" i="10" s="1"/>
  <c r="L22" i="22" a="1"/>
  <c r="L22" i="22" s="1"/>
  <c r="N22" i="22" s="1"/>
  <c r="R23" i="22"/>
  <c r="K23" i="22"/>
  <c r="P10" i="22"/>
  <c r="P14" i="22"/>
  <c r="P11" i="22"/>
  <c r="P13" i="22"/>
  <c r="P20" i="22"/>
  <c r="P12" i="22"/>
  <c r="P9" i="22"/>
  <c r="P8" i="22"/>
  <c r="P17" i="22"/>
  <c r="P21" i="22"/>
  <c r="P16" i="22"/>
  <c r="P15" i="22"/>
  <c r="P7" i="22"/>
  <c r="P19" i="22"/>
  <c r="V13" i="22"/>
  <c r="P18" i="22"/>
  <c r="W22" i="22"/>
  <c r="F23" i="22"/>
  <c r="P22" i="22"/>
  <c r="O22" i="22"/>
  <c r="M22" i="10" l="1"/>
  <c r="S22" i="10"/>
  <c r="R22" i="10"/>
  <c r="M23" i="22"/>
  <c r="T23" i="22"/>
  <c r="U23" i="22" s="1"/>
  <c r="S23" i="22" a="1"/>
  <c r="S23" i="22" s="1"/>
  <c r="T27" i="20"/>
  <c r="U27" i="20" s="1"/>
  <c r="V26" i="20"/>
  <c r="W26" i="20" s="1"/>
  <c r="K22" i="10" a="1"/>
  <c r="K22" i="10" s="1"/>
  <c r="L22" i="10"/>
  <c r="Q22" i="10" a="1"/>
  <c r="Q22" i="10" s="1"/>
  <c r="E23" i="10"/>
  <c r="N22" i="10"/>
  <c r="O23" i="10" s="1"/>
  <c r="T22" i="10"/>
  <c r="U23" i="10" s="1"/>
  <c r="J23" i="10"/>
  <c r="P23" i="10"/>
  <c r="L23" i="22" a="1"/>
  <c r="L23" i="22" s="1"/>
  <c r="N23" i="22" s="1"/>
  <c r="K24" i="22"/>
  <c r="R24" i="22"/>
  <c r="V12" i="22"/>
  <c r="V11" i="22"/>
  <c r="V10" i="22"/>
  <c r="V22" i="22"/>
  <c r="V15" i="22"/>
  <c r="V17" i="22"/>
  <c r="V16" i="22"/>
  <c r="V20" i="22"/>
  <c r="V19" i="22"/>
  <c r="V18" i="22"/>
  <c r="V9" i="22"/>
  <c r="V7" i="22"/>
  <c r="V21" i="22"/>
  <c r="V8" i="22"/>
  <c r="V14" i="22"/>
  <c r="W8" i="22"/>
  <c r="W7" i="22"/>
  <c r="W9" i="22"/>
  <c r="W10" i="22"/>
  <c r="W11" i="22"/>
  <c r="W12" i="22"/>
  <c r="W13" i="22"/>
  <c r="W14" i="22"/>
  <c r="W15" i="22"/>
  <c r="W16" i="22"/>
  <c r="W17" i="22"/>
  <c r="W18" i="22"/>
  <c r="W19" i="22"/>
  <c r="W20" i="22"/>
  <c r="W21" i="22"/>
  <c r="P23" i="22"/>
  <c r="O23" i="22"/>
  <c r="F24" i="22"/>
  <c r="W23" i="22"/>
  <c r="V23" i="22"/>
  <c r="P24" i="10" l="1"/>
  <c r="M23" i="10"/>
  <c r="S23" i="10"/>
  <c r="R23" i="10"/>
  <c r="J24" i="10"/>
  <c r="M24" i="22"/>
  <c r="U24" i="22"/>
  <c r="S24" i="22" a="1"/>
  <c r="S24" i="22" s="1"/>
  <c r="T24" i="22"/>
  <c r="T28" i="20"/>
  <c r="U28" i="20" s="1"/>
  <c r="V27" i="20"/>
  <c r="W27" i="20" s="1"/>
  <c r="Q23" i="10" a="1"/>
  <c r="Q23" i="10" s="1"/>
  <c r="K23" i="10" a="1"/>
  <c r="K23" i="10" s="1"/>
  <c r="L23" i="10"/>
  <c r="N23" i="10"/>
  <c r="O24" i="10" s="1"/>
  <c r="T23" i="10"/>
  <c r="U24" i="10" s="1"/>
  <c r="E24" i="10"/>
  <c r="L24" i="22" a="1"/>
  <c r="L24" i="22" s="1"/>
  <c r="N24" i="22" s="1"/>
  <c r="K25" i="22"/>
  <c r="R25" i="22"/>
  <c r="P24" i="22"/>
  <c r="O24" i="22"/>
  <c r="V24" i="22"/>
  <c r="F25" i="22"/>
  <c r="W24" i="22"/>
  <c r="M24" i="10" l="1"/>
  <c r="R24" i="10"/>
  <c r="S24" i="10"/>
  <c r="M25" i="22"/>
  <c r="T25" i="22"/>
  <c r="U25" i="22"/>
  <c r="S25" i="22" a="1"/>
  <c r="S25" i="22" s="1"/>
  <c r="T29" i="20"/>
  <c r="U29" i="20" s="1"/>
  <c r="V28" i="20"/>
  <c r="W28" i="20" s="1"/>
  <c r="Q24" i="10" a="1"/>
  <c r="Q24" i="10" s="1"/>
  <c r="K24" i="10" a="1"/>
  <c r="K24" i="10" s="1"/>
  <c r="L24" i="10"/>
  <c r="T24" i="10"/>
  <c r="U25" i="10" s="1"/>
  <c r="J25" i="10"/>
  <c r="P25" i="10"/>
  <c r="E25" i="10"/>
  <c r="N24" i="10"/>
  <c r="O25" i="10" s="1"/>
  <c r="L25" i="22" a="1"/>
  <c r="L25" i="22" s="1"/>
  <c r="N25" i="22" s="1"/>
  <c r="K26" i="22"/>
  <c r="R26" i="22"/>
  <c r="P25" i="22"/>
  <c r="O25" i="22"/>
  <c r="F26" i="22"/>
  <c r="W25" i="22"/>
  <c r="V25" i="22"/>
  <c r="M25" i="10" l="1"/>
  <c r="R25" i="10"/>
  <c r="S25" i="10"/>
  <c r="M26" i="22"/>
  <c r="S26" i="22" a="1"/>
  <c r="S26" i="22" s="1"/>
  <c r="U26" i="22" s="1"/>
  <c r="T26" i="22"/>
  <c r="T30" i="20"/>
  <c r="U30" i="20" s="1"/>
  <c r="V29" i="20"/>
  <c r="W29" i="20" s="1"/>
  <c r="Q25" i="10" a="1"/>
  <c r="Q25" i="10" s="1"/>
  <c r="K25" i="10" a="1"/>
  <c r="K25" i="10" s="1"/>
  <c r="L25" i="10"/>
  <c r="T25" i="10"/>
  <c r="U26" i="10" s="1"/>
  <c r="P26" i="10"/>
  <c r="N25" i="10"/>
  <c r="O26" i="10" s="1"/>
  <c r="J26" i="10"/>
  <c r="E26" i="10"/>
  <c r="L26" i="22" a="1"/>
  <c r="L26" i="22" s="1"/>
  <c r="N26" i="22" s="1"/>
  <c r="R27" i="22"/>
  <c r="K27" i="22"/>
  <c r="F27" i="22"/>
  <c r="W26" i="22"/>
  <c r="P26" i="22"/>
  <c r="O26" i="22"/>
  <c r="V26" i="22"/>
  <c r="M26" i="10" l="1"/>
  <c r="S26" i="10"/>
  <c r="R26" i="10"/>
  <c r="M27" i="22"/>
  <c r="S27" i="22" a="1"/>
  <c r="S27" i="22" s="1"/>
  <c r="T27" i="22"/>
  <c r="T31" i="20"/>
  <c r="U31" i="20" s="1"/>
  <c r="V30" i="20"/>
  <c r="W30" i="20" s="1"/>
  <c r="L26" i="10"/>
  <c r="Q26" i="10" a="1"/>
  <c r="Q26" i="10" s="1"/>
  <c r="K26" i="10" a="1"/>
  <c r="K26" i="10" s="1"/>
  <c r="T26" i="10"/>
  <c r="U27" i="10" s="1"/>
  <c r="J27" i="10"/>
  <c r="P27" i="10"/>
  <c r="E27" i="10"/>
  <c r="N26" i="10"/>
  <c r="O27" i="10" s="1"/>
  <c r="L27" i="22" a="1"/>
  <c r="L27" i="22" s="1"/>
  <c r="N27" i="22" s="1"/>
  <c r="R28" i="22"/>
  <c r="K28" i="22"/>
  <c r="W27" i="22"/>
  <c r="V27" i="22"/>
  <c r="O27" i="22"/>
  <c r="P27" i="22"/>
  <c r="F28" i="22"/>
  <c r="U27" i="22" l="1"/>
  <c r="M27" i="10"/>
  <c r="R27" i="10"/>
  <c r="S27" i="10"/>
  <c r="M28" i="22"/>
  <c r="T28" i="22"/>
  <c r="S28" i="22" a="1"/>
  <c r="S28" i="22" s="1"/>
  <c r="U28" i="22" s="1"/>
  <c r="T32" i="20"/>
  <c r="U32" i="20" s="1"/>
  <c r="V31" i="20"/>
  <c r="W31" i="20" s="1"/>
  <c r="Q27" i="10" a="1"/>
  <c r="Q27" i="10" s="1"/>
  <c r="L27" i="10"/>
  <c r="K27" i="10" a="1"/>
  <c r="K27" i="10" s="1"/>
  <c r="T27" i="10"/>
  <c r="U28" i="10" s="1"/>
  <c r="E28" i="10"/>
  <c r="N27" i="10"/>
  <c r="O28" i="10" s="1"/>
  <c r="J28" i="10"/>
  <c r="P28" i="10"/>
  <c r="L28" i="22" a="1"/>
  <c r="L28" i="22" s="1"/>
  <c r="N28" i="22" s="1"/>
  <c r="K29" i="22"/>
  <c r="R29" i="22"/>
  <c r="O28" i="22"/>
  <c r="F29" i="22"/>
  <c r="W28" i="22"/>
  <c r="V28" i="22"/>
  <c r="P28" i="22"/>
  <c r="M28" i="10" l="1"/>
  <c r="S28" i="10"/>
  <c r="R28" i="10"/>
  <c r="M29" i="22"/>
  <c r="S29" i="22" a="1"/>
  <c r="S29" i="22" s="1"/>
  <c r="T29" i="22"/>
  <c r="U29" i="22"/>
  <c r="V32" i="20"/>
  <c r="W32" i="20" s="1"/>
  <c r="T33" i="20"/>
  <c r="U33" i="20" s="1"/>
  <c r="L28" i="10"/>
  <c r="K28" i="10" a="1"/>
  <c r="K28" i="10" s="1"/>
  <c r="Q28" i="10" a="1"/>
  <c r="Q28" i="10" s="1"/>
  <c r="T28" i="10"/>
  <c r="U29" i="10" s="1"/>
  <c r="J29" i="10"/>
  <c r="P29" i="10"/>
  <c r="E29" i="10"/>
  <c r="N28" i="10"/>
  <c r="O29" i="10" s="1"/>
  <c r="L29" i="22" a="1"/>
  <c r="L29" i="22" s="1"/>
  <c r="N29" i="22" s="1"/>
  <c r="R30" i="22"/>
  <c r="K30" i="22"/>
  <c r="P29" i="22"/>
  <c r="O29" i="22"/>
  <c r="F30" i="22"/>
  <c r="W29" i="22"/>
  <c r="V29" i="22"/>
  <c r="M29" i="10" l="1"/>
  <c r="R29" i="10"/>
  <c r="S29" i="10"/>
  <c r="M30" i="22"/>
  <c r="T30" i="22"/>
  <c r="S30" i="22" a="1"/>
  <c r="S30" i="22" s="1"/>
  <c r="U30" i="22" s="1"/>
  <c r="V33" i="20"/>
  <c r="W33" i="20" s="1"/>
  <c r="T34" i="20"/>
  <c r="U34" i="20" s="1"/>
  <c r="Q29" i="10" a="1"/>
  <c r="Q29" i="10" s="1"/>
  <c r="L29" i="10"/>
  <c r="K29" i="10" a="1"/>
  <c r="K29" i="10" s="1"/>
  <c r="N29" i="10"/>
  <c r="O30" i="10" s="1"/>
  <c r="P30" i="10"/>
  <c r="J30" i="10"/>
  <c r="E30" i="10"/>
  <c r="T29" i="10"/>
  <c r="U30" i="10" s="1"/>
  <c r="L30" i="22" a="1"/>
  <c r="L30" i="22" s="1"/>
  <c r="N30" i="22" s="1"/>
  <c r="K31" i="22"/>
  <c r="R31" i="22"/>
  <c r="F31" i="22"/>
  <c r="P30" i="22"/>
  <c r="O30" i="22"/>
  <c r="W30" i="22"/>
  <c r="V30" i="22"/>
  <c r="M30" i="10" l="1"/>
  <c r="R30" i="10"/>
  <c r="S30" i="10"/>
  <c r="M31" i="22"/>
  <c r="S31" i="22" a="1"/>
  <c r="S31" i="22" s="1"/>
  <c r="T31" i="22"/>
  <c r="U31" i="22" s="1"/>
  <c r="V34" i="20"/>
  <c r="W34" i="20" s="1"/>
  <c r="T35" i="20"/>
  <c r="U35" i="20" s="1"/>
  <c r="K30" i="10" a="1"/>
  <c r="K30" i="10" s="1"/>
  <c r="Q30" i="10" a="1"/>
  <c r="Q30" i="10" s="1"/>
  <c r="L30" i="10"/>
  <c r="T30" i="10"/>
  <c r="U31" i="10" s="1"/>
  <c r="J31" i="10"/>
  <c r="E31" i="10"/>
  <c r="N30" i="10"/>
  <c r="O31" i="10" s="1"/>
  <c r="P31" i="10"/>
  <c r="L31" i="22" a="1"/>
  <c r="L31" i="22" s="1"/>
  <c r="N31" i="22" s="1"/>
  <c r="K32" i="22"/>
  <c r="R32" i="22"/>
  <c r="P31" i="22"/>
  <c r="O31" i="22"/>
  <c r="F32" i="22"/>
  <c r="W31" i="22"/>
  <c r="V31" i="22"/>
  <c r="M31" i="10" l="1"/>
  <c r="S31" i="10"/>
  <c r="R31" i="10"/>
  <c r="M32" i="22"/>
  <c r="S32" i="22" a="1"/>
  <c r="S32" i="22" s="1"/>
  <c r="T32" i="22"/>
  <c r="V35" i="20"/>
  <c r="W35" i="20" s="1"/>
  <c r="T36" i="20"/>
  <c r="U36" i="20" s="1"/>
  <c r="Q31" i="10" a="1"/>
  <c r="Q31" i="10" s="1"/>
  <c r="K31" i="10" a="1"/>
  <c r="K31" i="10" s="1"/>
  <c r="L31" i="10"/>
  <c r="P32" i="10"/>
  <c r="E32" i="10"/>
  <c r="N31" i="10"/>
  <c r="O32" i="10" s="1"/>
  <c r="T31" i="10"/>
  <c r="U32" i="10" s="1"/>
  <c r="J32" i="10"/>
  <c r="L32" i="22" a="1"/>
  <c r="L32" i="22" s="1"/>
  <c r="N32" i="22" s="1"/>
  <c r="K33" i="22"/>
  <c r="R33" i="22"/>
  <c r="P32" i="22"/>
  <c r="O32" i="22"/>
  <c r="F33" i="22"/>
  <c r="W32" i="22"/>
  <c r="V32" i="22"/>
  <c r="U32" i="22" l="1"/>
  <c r="M32" i="10"/>
  <c r="S32" i="10"/>
  <c r="R32" i="10"/>
  <c r="M33" i="22"/>
  <c r="T33" i="22"/>
  <c r="S33" i="22" a="1"/>
  <c r="S33" i="22" s="1"/>
  <c r="U33" i="22" s="1"/>
  <c r="V36" i="20"/>
  <c r="W36" i="20" s="1"/>
  <c r="T37" i="20"/>
  <c r="U37" i="20" s="1"/>
  <c r="K32" i="10" a="1"/>
  <c r="K32" i="10" s="1"/>
  <c r="L32" i="10"/>
  <c r="Q32" i="10" a="1"/>
  <c r="Q32" i="10" s="1"/>
  <c r="N32" i="10"/>
  <c r="O33" i="10" s="1"/>
  <c r="T32" i="10"/>
  <c r="U33" i="10" s="1"/>
  <c r="J33" i="10"/>
  <c r="P33" i="10"/>
  <c r="E33" i="10"/>
  <c r="L33" i="22" a="1"/>
  <c r="L33" i="22" s="1"/>
  <c r="N33" i="22" s="1"/>
  <c r="R34" i="22"/>
  <c r="K34" i="22"/>
  <c r="F34" i="22"/>
  <c r="W33" i="22"/>
  <c r="V33" i="22"/>
  <c r="P33" i="22"/>
  <c r="O33" i="22"/>
  <c r="M33" i="10" l="1"/>
  <c r="R33" i="10"/>
  <c r="S33" i="10"/>
  <c r="M34" i="22"/>
  <c r="T34" i="22"/>
  <c r="S34" i="22" a="1"/>
  <c r="S34" i="22" s="1"/>
  <c r="U34" i="22" s="1"/>
  <c r="V37" i="20"/>
  <c r="W37" i="20" s="1"/>
  <c r="T38" i="20"/>
  <c r="L33" i="10"/>
  <c r="K33" i="10" a="1"/>
  <c r="K33" i="10" s="1"/>
  <c r="Q33" i="10" a="1"/>
  <c r="Q33" i="10" s="1"/>
  <c r="N33" i="10"/>
  <c r="O34" i="10" s="1"/>
  <c r="T33" i="10"/>
  <c r="U34" i="10" s="1"/>
  <c r="P34" i="10"/>
  <c r="J34" i="10"/>
  <c r="E34" i="10"/>
  <c r="L34" i="22" a="1"/>
  <c r="L34" i="22" s="1"/>
  <c r="N34" i="22" s="1"/>
  <c r="R35" i="22"/>
  <c r="K35" i="22"/>
  <c r="F35" i="22"/>
  <c r="V34" i="22"/>
  <c r="W34" i="22"/>
  <c r="P34" i="22"/>
  <c r="O34" i="22"/>
  <c r="M34" i="10" l="1"/>
  <c r="R34" i="10"/>
  <c r="S34" i="10"/>
  <c r="M35" i="22"/>
  <c r="S35" i="22" a="1"/>
  <c r="S35" i="22" s="1"/>
  <c r="T35" i="22"/>
  <c r="U38" i="20"/>
  <c r="V38" i="20" s="1"/>
  <c r="W38" i="20" s="1"/>
  <c r="L34" i="10"/>
  <c r="Q34" i="10" a="1"/>
  <c r="Q34" i="10" s="1"/>
  <c r="K34" i="10" a="1"/>
  <c r="K34" i="10" s="1"/>
  <c r="N34" i="10"/>
  <c r="O35" i="10" s="1"/>
  <c r="T34" i="10"/>
  <c r="U35" i="10" s="1"/>
  <c r="J35" i="10"/>
  <c r="E35" i="10"/>
  <c r="P35" i="10"/>
  <c r="L35" i="22" a="1"/>
  <c r="L35" i="22" s="1"/>
  <c r="N35" i="22" s="1"/>
  <c r="K36" i="22"/>
  <c r="R36" i="22"/>
  <c r="F36" i="22"/>
  <c r="W35" i="22"/>
  <c r="V35" i="22"/>
  <c r="P35" i="22"/>
  <c r="O35" i="22"/>
  <c r="U35" i="22" l="1"/>
  <c r="M35" i="10"/>
  <c r="R35" i="10"/>
  <c r="S35" i="10"/>
  <c r="M36" i="22"/>
  <c r="T36" i="22"/>
  <c r="S36" i="22" a="1"/>
  <c r="S36" i="22" s="1"/>
  <c r="U36" i="22" s="1"/>
  <c r="L35" i="10"/>
  <c r="Q35" i="10" a="1"/>
  <c r="Q35" i="10" s="1"/>
  <c r="K35" i="10" a="1"/>
  <c r="K35" i="10" s="1"/>
  <c r="P36" i="10"/>
  <c r="N35" i="10"/>
  <c r="O36" i="10" s="1"/>
  <c r="J36" i="10"/>
  <c r="T35" i="10"/>
  <c r="U36" i="10" s="1"/>
  <c r="E36" i="10"/>
  <c r="L36" i="22" a="1"/>
  <c r="L36" i="22" s="1"/>
  <c r="N36" i="22" s="1"/>
  <c r="K37" i="22"/>
  <c r="R37" i="22"/>
  <c r="P36" i="22"/>
  <c r="O36" i="22"/>
  <c r="F37" i="22"/>
  <c r="W36" i="22"/>
  <c r="V36" i="22"/>
  <c r="M36" i="10" l="1"/>
  <c r="R36" i="10"/>
  <c r="S36" i="10"/>
  <c r="M37" i="22"/>
  <c r="T37" i="22"/>
  <c r="S37" i="22" a="1"/>
  <c r="S37" i="22" s="1"/>
  <c r="U37" i="22" s="1"/>
  <c r="Q36" i="10" a="1"/>
  <c r="Q36" i="10" s="1"/>
  <c r="L36" i="10"/>
  <c r="K36" i="10" a="1"/>
  <c r="K36" i="10" s="1"/>
  <c r="N36" i="10"/>
  <c r="O37" i="10" s="1"/>
  <c r="E37" i="10"/>
  <c r="T36" i="10"/>
  <c r="U37" i="10" s="1"/>
  <c r="J37" i="10"/>
  <c r="P37" i="10"/>
  <c r="L37" i="22" a="1"/>
  <c r="L37" i="22" s="1"/>
  <c r="K38" i="22"/>
  <c r="R38" i="22"/>
  <c r="P37" i="22"/>
  <c r="O37" i="22"/>
  <c r="F38" i="22"/>
  <c r="W37" i="22"/>
  <c r="V37" i="22"/>
  <c r="N37" i="22" l="1"/>
  <c r="M37" i="10"/>
  <c r="S37" i="10"/>
  <c r="R37" i="10"/>
  <c r="M38" i="22"/>
  <c r="T38" i="22"/>
  <c r="S38" i="22" a="1"/>
  <c r="S38" i="22" s="1"/>
  <c r="U38" i="22" s="1"/>
  <c r="L37" i="10"/>
  <c r="K37" i="10" a="1"/>
  <c r="K37" i="10" s="1"/>
  <c r="Q37" i="10" a="1"/>
  <c r="Q37" i="10" s="1"/>
  <c r="P38" i="10"/>
  <c r="N37" i="10"/>
  <c r="O38" i="10" s="1"/>
  <c r="T37" i="10"/>
  <c r="U38" i="10" s="1"/>
  <c r="E38" i="10"/>
  <c r="J38" i="10"/>
  <c r="L38" i="22" a="1"/>
  <c r="L38" i="22" s="1"/>
  <c r="K39" i="22"/>
  <c r="R39" i="22"/>
  <c r="F39" i="22"/>
  <c r="O38" i="22"/>
  <c r="P38" i="22"/>
  <c r="W38" i="22"/>
  <c r="V38" i="22"/>
  <c r="N38" i="22" l="1"/>
  <c r="M38" i="10"/>
  <c r="R38" i="10"/>
  <c r="S38" i="10"/>
  <c r="M39" i="22"/>
  <c r="S39" i="22" a="1"/>
  <c r="S39" i="22" s="1"/>
  <c r="T39" i="22"/>
  <c r="U39" i="22" s="1"/>
  <c r="L38" i="10"/>
  <c r="K38" i="10" a="1"/>
  <c r="K38" i="10" s="1"/>
  <c r="Q38" i="10" a="1"/>
  <c r="Q38" i="10" s="1"/>
  <c r="N38" i="10"/>
  <c r="O39" i="10" s="1"/>
  <c r="T38" i="10"/>
  <c r="U39" i="10" s="1"/>
  <c r="E39" i="10"/>
  <c r="J39" i="10"/>
  <c r="P39" i="10"/>
  <c r="L39" i="22" a="1"/>
  <c r="L39" i="22" s="1"/>
  <c r="N39" i="22" s="1"/>
  <c r="K40" i="22"/>
  <c r="R40" i="22"/>
  <c r="F40" i="22"/>
  <c r="P39" i="22"/>
  <c r="O39" i="22"/>
  <c r="W39" i="22"/>
  <c r="V39" i="22"/>
  <c r="M39" i="10" l="1"/>
  <c r="R39" i="10"/>
  <c r="S39" i="10"/>
  <c r="M40" i="22"/>
  <c r="T40" i="22"/>
  <c r="S40" i="22" a="1"/>
  <c r="S40" i="22" s="1"/>
  <c r="U40" i="22" s="1"/>
  <c r="K39" i="10" a="1"/>
  <c r="K39" i="10" s="1"/>
  <c r="Q39" i="10" a="1"/>
  <c r="Q39" i="10" s="1"/>
  <c r="L39" i="10"/>
  <c r="P40" i="10"/>
  <c r="J40" i="10"/>
  <c r="N39" i="10"/>
  <c r="O40" i="10" s="1"/>
  <c r="T39" i="10"/>
  <c r="U40" i="10" s="1"/>
  <c r="E40" i="10"/>
  <c r="L40" i="22" a="1"/>
  <c r="L40" i="22" s="1"/>
  <c r="K41" i="22"/>
  <c r="R41" i="22"/>
  <c r="F41" i="22"/>
  <c r="W40" i="22"/>
  <c r="V40" i="22"/>
  <c r="P40" i="22"/>
  <c r="O40" i="22"/>
  <c r="N40" i="22" l="1"/>
  <c r="M40" i="10"/>
  <c r="R40" i="10"/>
  <c r="S40" i="10"/>
  <c r="M41" i="22"/>
  <c r="S41" i="22" a="1"/>
  <c r="S41" i="22" s="1"/>
  <c r="U41" i="22" s="1"/>
  <c r="T41" i="22"/>
  <c r="L40" i="10"/>
  <c r="Q40" i="10" a="1"/>
  <c r="Q40" i="10" s="1"/>
  <c r="K40" i="10" a="1"/>
  <c r="K40" i="10" s="1"/>
  <c r="N40" i="10"/>
  <c r="O41" i="10" s="1"/>
  <c r="J41" i="10"/>
  <c r="T40" i="10"/>
  <c r="U41" i="10" s="1"/>
  <c r="P41" i="10"/>
  <c r="E41" i="10"/>
  <c r="L41" i="22" a="1"/>
  <c r="L41" i="22" s="1"/>
  <c r="N41" i="22" s="1"/>
  <c r="R42" i="22"/>
  <c r="K42" i="22"/>
  <c r="V41" i="22"/>
  <c r="P41" i="22"/>
  <c r="O41" i="22"/>
  <c r="F42" i="22"/>
  <c r="W41" i="22"/>
  <c r="M41" i="10" l="1"/>
  <c r="R41" i="10"/>
  <c r="S41" i="10"/>
  <c r="M42" i="22"/>
  <c r="S42" i="22" a="1"/>
  <c r="S42" i="22" s="1"/>
  <c r="T42" i="22"/>
  <c r="U42" i="22" s="1"/>
  <c r="K41" i="10" a="1"/>
  <c r="K41" i="10" s="1"/>
  <c r="L41" i="10"/>
  <c r="Q41" i="10" a="1"/>
  <c r="Q41" i="10" s="1"/>
  <c r="P42" i="10"/>
  <c r="J42" i="10"/>
  <c r="N41" i="10"/>
  <c r="O42" i="10" s="1"/>
  <c r="T41" i="10"/>
  <c r="U42" i="10" s="1"/>
  <c r="E42" i="10"/>
  <c r="L42" i="22" a="1"/>
  <c r="L42" i="22" s="1"/>
  <c r="K43" i="22"/>
  <c r="R43" i="22"/>
  <c r="F43" i="22"/>
  <c r="W42" i="22"/>
  <c r="V42" i="22"/>
  <c r="P42" i="22"/>
  <c r="O42" i="22"/>
  <c r="N42" i="22" l="1"/>
  <c r="M42" i="10"/>
  <c r="R42" i="10"/>
  <c r="S42" i="10"/>
  <c r="M43" i="22"/>
  <c r="S43" i="22" a="1"/>
  <c r="S43" i="22" s="1"/>
  <c r="U43" i="22" s="1"/>
  <c r="T43" i="22"/>
  <c r="Q42" i="10" a="1"/>
  <c r="Q42" i="10" s="1"/>
  <c r="K42" i="10" a="1"/>
  <c r="K42" i="10" s="1"/>
  <c r="L42" i="10"/>
  <c r="N42" i="10"/>
  <c r="O43" i="10" s="1"/>
  <c r="T42" i="10"/>
  <c r="U43" i="10" s="1"/>
  <c r="E43" i="10"/>
  <c r="J43" i="10"/>
  <c r="P43" i="10"/>
  <c r="L43" i="22" a="1"/>
  <c r="L43" i="22" s="1"/>
  <c r="N43" i="22" s="1"/>
  <c r="K44" i="22"/>
  <c r="R44" i="22"/>
  <c r="V43" i="22"/>
  <c r="P43" i="22"/>
  <c r="O43" i="22"/>
  <c r="F44" i="22"/>
  <c r="W43" i="22"/>
  <c r="M43" i="10" l="1"/>
  <c r="S43" i="10"/>
  <c r="R43" i="10"/>
  <c r="M44" i="22"/>
  <c r="T44" i="22"/>
  <c r="S44" i="22" a="1"/>
  <c r="S44" i="22" s="1"/>
  <c r="U44" i="22" s="1"/>
  <c r="Q43" i="10" a="1"/>
  <c r="Q43" i="10" s="1"/>
  <c r="L43" i="10"/>
  <c r="K43" i="10" a="1"/>
  <c r="K43" i="10" s="1"/>
  <c r="P44" i="10"/>
  <c r="J44" i="10"/>
  <c r="T43" i="10"/>
  <c r="U44" i="10" s="1"/>
  <c r="E44" i="10"/>
  <c r="N43" i="10"/>
  <c r="O44" i="10" s="1"/>
  <c r="L44" i="22" a="1"/>
  <c r="L44" i="22" s="1"/>
  <c r="N44" i="22" s="1"/>
  <c r="R45" i="22"/>
  <c r="K45" i="22"/>
  <c r="P44" i="22"/>
  <c r="O44" i="22"/>
  <c r="F45" i="22"/>
  <c r="W44" i="22"/>
  <c r="V44" i="22"/>
  <c r="M44" i="10" l="1"/>
  <c r="S44" i="10"/>
  <c r="R44" i="10"/>
  <c r="M45" i="22"/>
  <c r="T45" i="22"/>
  <c r="S45" i="22" a="1"/>
  <c r="S45" i="22" s="1"/>
  <c r="U45" i="22" s="1"/>
  <c r="K44" i="10" a="1"/>
  <c r="K44" i="10" s="1"/>
  <c r="Q44" i="10" a="1"/>
  <c r="Q44" i="10" s="1"/>
  <c r="L44" i="10"/>
  <c r="T44" i="10"/>
  <c r="U45" i="10" s="1"/>
  <c r="J45" i="10"/>
  <c r="N44" i="10"/>
  <c r="O45" i="10" s="1"/>
  <c r="P45" i="10"/>
  <c r="P46" i="10" s="1"/>
  <c r="E45" i="10"/>
  <c r="L45" i="22" a="1"/>
  <c r="L45" i="22" s="1"/>
  <c r="R46" i="22"/>
  <c r="K46" i="22"/>
  <c r="O45" i="22"/>
  <c r="P45" i="22"/>
  <c r="F46" i="22"/>
  <c r="W45" i="22"/>
  <c r="V45" i="22"/>
  <c r="N45" i="22" l="1"/>
  <c r="M45" i="10"/>
  <c r="R45" i="10"/>
  <c r="S45" i="10"/>
  <c r="M46" i="22"/>
  <c r="T46" i="22"/>
  <c r="S46" i="22" a="1"/>
  <c r="S46" i="22" s="1"/>
  <c r="U46" i="22" s="1"/>
  <c r="J46" i="10"/>
  <c r="L45" i="10"/>
  <c r="K45" i="10" a="1"/>
  <c r="K45" i="10" s="1"/>
  <c r="Q45" i="10" a="1"/>
  <c r="Q45" i="10" s="1"/>
  <c r="N45" i="10"/>
  <c r="O46" i="10" s="1"/>
  <c r="T45" i="10"/>
  <c r="U46" i="10" s="1"/>
  <c r="E46" i="10"/>
  <c r="L46" i="22" a="1"/>
  <c r="L46" i="22" s="1"/>
  <c r="R47" i="22"/>
  <c r="K47" i="22"/>
  <c r="O46" i="22"/>
  <c r="P46" i="22"/>
  <c r="F47" i="22"/>
  <c r="W46" i="22"/>
  <c r="V46" i="22"/>
  <c r="N46" i="22" l="1"/>
  <c r="M46" i="10"/>
  <c r="R46" i="10"/>
  <c r="S46" i="10"/>
  <c r="M47" i="22"/>
  <c r="S47" i="22" a="1"/>
  <c r="S47" i="22" s="1"/>
  <c r="T47" i="22"/>
  <c r="K46" i="10" a="1"/>
  <c r="K46" i="10" s="1"/>
  <c r="L46" i="10"/>
  <c r="Q46" i="10" a="1"/>
  <c r="Q46" i="10" s="1"/>
  <c r="T46" i="10"/>
  <c r="U47" i="10" s="1"/>
  <c r="E47" i="10"/>
  <c r="J47" i="10"/>
  <c r="P47" i="10"/>
  <c r="N46" i="10"/>
  <c r="O47" i="10" s="1"/>
  <c r="L47" i="22" a="1"/>
  <c r="L47" i="22" s="1"/>
  <c r="K48" i="22"/>
  <c r="R48" i="22"/>
  <c r="V47" i="22"/>
  <c r="F48" i="22"/>
  <c r="W47" i="22"/>
  <c r="P47" i="22"/>
  <c r="O47" i="22"/>
  <c r="U47" i="22" l="1"/>
  <c r="N47" i="22"/>
  <c r="M47" i="10"/>
  <c r="S47" i="10"/>
  <c r="R47" i="10"/>
  <c r="M48" i="22"/>
  <c r="S48" i="22" a="1"/>
  <c r="S48" i="22" s="1"/>
  <c r="T48" i="22"/>
  <c r="L47" i="10"/>
  <c r="K47" i="10" a="1"/>
  <c r="K47" i="10" s="1"/>
  <c r="Q47" i="10" a="1"/>
  <c r="Q47" i="10" s="1"/>
  <c r="P48" i="10"/>
  <c r="J48" i="10"/>
  <c r="T47" i="10"/>
  <c r="U48" i="10" s="1"/>
  <c r="N47" i="10"/>
  <c r="O48" i="10" s="1"/>
  <c r="E48" i="10"/>
  <c r="L48" i="22" a="1"/>
  <c r="L48" i="22" s="1"/>
  <c r="K49" i="22"/>
  <c r="R49" i="22"/>
  <c r="F49" i="22"/>
  <c r="W48" i="22"/>
  <c r="V48" i="22"/>
  <c r="P48" i="22"/>
  <c r="O48" i="22"/>
  <c r="U48" i="22" l="1"/>
  <c r="N48" i="22"/>
  <c r="M48" i="10"/>
  <c r="S48" i="10"/>
  <c r="R48" i="10"/>
  <c r="M49" i="22"/>
  <c r="S49" i="22" a="1"/>
  <c r="S49" i="22" s="1"/>
  <c r="T49" i="22"/>
  <c r="U49" i="22" s="1"/>
  <c r="L48" i="10"/>
  <c r="K48" i="10" a="1"/>
  <c r="K48" i="10" s="1"/>
  <c r="Q48" i="10" a="1"/>
  <c r="Q48" i="10" s="1"/>
  <c r="E49" i="10"/>
  <c r="T48" i="10"/>
  <c r="U49" i="10" s="1"/>
  <c r="N48" i="10"/>
  <c r="O49" i="10" s="1"/>
  <c r="J49" i="10"/>
  <c r="P49" i="10"/>
  <c r="L49" i="22" a="1"/>
  <c r="L49" i="22" s="1"/>
  <c r="K50" i="22"/>
  <c r="R50" i="22"/>
  <c r="O49" i="22"/>
  <c r="V49" i="22"/>
  <c r="F50" i="22"/>
  <c r="W49" i="22"/>
  <c r="P49" i="22"/>
  <c r="N49" i="22" l="1"/>
  <c r="M49" i="10"/>
  <c r="S49" i="10"/>
  <c r="R49" i="10"/>
  <c r="J50" i="10"/>
  <c r="M50" i="22"/>
  <c r="T50" i="22"/>
  <c r="S50" i="22" a="1"/>
  <c r="S50" i="22" s="1"/>
  <c r="Q49" i="10" a="1"/>
  <c r="Q49" i="10" s="1"/>
  <c r="L49" i="10"/>
  <c r="K49" i="10" a="1"/>
  <c r="K49" i="10" s="1"/>
  <c r="P50" i="10"/>
  <c r="T49" i="10"/>
  <c r="U50" i="10" s="1"/>
  <c r="N49" i="10"/>
  <c r="O50" i="10" s="1"/>
  <c r="E50" i="10"/>
  <c r="L50" i="22" a="1"/>
  <c r="L50" i="22" s="1"/>
  <c r="K51" i="22"/>
  <c r="R51" i="22"/>
  <c r="F51" i="22"/>
  <c r="P50" i="22"/>
  <c r="O50" i="22"/>
  <c r="W50" i="22"/>
  <c r="V50" i="22"/>
  <c r="U50" i="22" l="1"/>
  <c r="N50" i="22"/>
  <c r="M50" i="10"/>
  <c r="R50" i="10"/>
  <c r="S50" i="10"/>
  <c r="M51" i="22"/>
  <c r="T51" i="22"/>
  <c r="U51" i="22" s="1"/>
  <c r="S51" i="22" a="1"/>
  <c r="S51" i="22" s="1"/>
  <c r="L50" i="10"/>
  <c r="Q50" i="10" a="1"/>
  <c r="Q50" i="10" s="1"/>
  <c r="K50" i="10" a="1"/>
  <c r="K50" i="10" s="1"/>
  <c r="N50" i="10"/>
  <c r="O51" i="10" s="1"/>
  <c r="T50" i="10"/>
  <c r="U51" i="10" s="1"/>
  <c r="E51" i="10"/>
  <c r="J51" i="10"/>
  <c r="J52" i="10" s="1"/>
  <c r="P51" i="10"/>
  <c r="L51" i="22" a="1"/>
  <c r="L51" i="22" s="1"/>
  <c r="N51" i="22" s="1"/>
  <c r="K52" i="22"/>
  <c r="R52" i="22"/>
  <c r="V51" i="22"/>
  <c r="P51" i="22"/>
  <c r="F52" i="22"/>
  <c r="W51" i="22"/>
  <c r="O51" i="22"/>
  <c r="M51" i="10" l="1"/>
  <c r="R51" i="10"/>
  <c r="S51" i="10"/>
  <c r="M52" i="22"/>
  <c r="T52" i="22"/>
  <c r="S52" i="22" a="1"/>
  <c r="S52" i="22" s="1"/>
  <c r="U52" i="22" s="1"/>
  <c r="K51" i="10" a="1"/>
  <c r="K51" i="10" s="1"/>
  <c r="Q51" i="10" a="1"/>
  <c r="Q51" i="10" s="1"/>
  <c r="L51" i="10"/>
  <c r="P52" i="10"/>
  <c r="T51" i="10"/>
  <c r="U52" i="10" s="1"/>
  <c r="E52" i="10"/>
  <c r="N51" i="10"/>
  <c r="O52" i="10" s="1"/>
  <c r="L52" i="22" a="1"/>
  <c r="L52" i="22" s="1"/>
  <c r="K53" i="22"/>
  <c r="R53" i="22"/>
  <c r="F53" i="22"/>
  <c r="W52" i="22"/>
  <c r="V52" i="22"/>
  <c r="O52" i="22"/>
  <c r="P52" i="22"/>
  <c r="N52" i="22" l="1"/>
  <c r="M52" i="10"/>
  <c r="S52" i="10"/>
  <c r="R52" i="10"/>
  <c r="M53" i="22"/>
  <c r="S53" i="22" a="1"/>
  <c r="S53" i="22" s="1"/>
  <c r="T53" i="22"/>
  <c r="K52" i="10" a="1"/>
  <c r="K52" i="10" s="1"/>
  <c r="L52" i="10"/>
  <c r="Q52" i="10" a="1"/>
  <c r="Q52" i="10" s="1"/>
  <c r="T52" i="10"/>
  <c r="U53" i="10" s="1"/>
  <c r="J53" i="10"/>
  <c r="P53" i="10"/>
  <c r="E53" i="10"/>
  <c r="N52" i="10"/>
  <c r="O53" i="10" s="1"/>
  <c r="L53" i="22" a="1"/>
  <c r="L53" i="22" s="1"/>
  <c r="K54" i="22"/>
  <c r="R54" i="22"/>
  <c r="O53" i="22"/>
  <c r="W53" i="22"/>
  <c r="V53" i="22"/>
  <c r="P53" i="22"/>
  <c r="F54" i="22"/>
  <c r="U53" i="22" l="1"/>
  <c r="N53" i="22"/>
  <c r="K53" i="10" a="1"/>
  <c r="K53" i="10" s="1"/>
  <c r="M53" i="10"/>
  <c r="R53" i="10"/>
  <c r="S53" i="10"/>
  <c r="M54" i="22"/>
  <c r="T54" i="22"/>
  <c r="S54" i="22" a="1"/>
  <c r="S54" i="22" s="1"/>
  <c r="U54" i="22" s="1"/>
  <c r="Q53" i="10" a="1"/>
  <c r="Q53" i="10" s="1"/>
  <c r="L53" i="10"/>
  <c r="P54" i="10"/>
  <c r="J54" i="10"/>
  <c r="N53" i="10"/>
  <c r="O54" i="10" s="1"/>
  <c r="T53" i="10"/>
  <c r="U54" i="10" s="1"/>
  <c r="E54" i="10"/>
  <c r="L54" i="22" a="1"/>
  <c r="L54" i="22" s="1"/>
  <c r="K55" i="22"/>
  <c r="R55" i="22"/>
  <c r="F55" i="22"/>
  <c r="V54" i="22"/>
  <c r="W54" i="22"/>
  <c r="P54" i="22"/>
  <c r="O54" i="22"/>
  <c r="N54" i="22" l="1"/>
  <c r="M54" i="10"/>
  <c r="S54" i="10"/>
  <c r="R54" i="10"/>
  <c r="M55" i="22"/>
  <c r="S55" i="22" a="1"/>
  <c r="S55" i="22" s="1"/>
  <c r="T55" i="22"/>
  <c r="U55" i="22" s="1"/>
  <c r="K54" i="10" a="1"/>
  <c r="K54" i="10" s="1"/>
  <c r="L54" i="10"/>
  <c r="Q54" i="10" a="1"/>
  <c r="Q54" i="10" s="1"/>
  <c r="T54" i="10"/>
  <c r="U55" i="10" s="1"/>
  <c r="P55" i="10"/>
  <c r="J55" i="10"/>
  <c r="E55" i="10"/>
  <c r="N54" i="10"/>
  <c r="O55" i="10" s="1"/>
  <c r="L55" i="22" a="1"/>
  <c r="L55" i="22" s="1"/>
  <c r="K56" i="22"/>
  <c r="R56" i="22"/>
  <c r="V55" i="22"/>
  <c r="F56" i="22"/>
  <c r="W55" i="22"/>
  <c r="P55" i="22"/>
  <c r="O55" i="22"/>
  <c r="N55" i="22" l="1"/>
  <c r="M55" i="10"/>
  <c r="S55" i="10"/>
  <c r="R55" i="10"/>
  <c r="M56" i="22"/>
  <c r="S56" i="22" a="1"/>
  <c r="S56" i="22" s="1"/>
  <c r="U56" i="22" s="1"/>
  <c r="T56" i="22"/>
  <c r="Q55" i="10" a="1"/>
  <c r="Q55" i="10" s="1"/>
  <c r="K55" i="10" a="1"/>
  <c r="K55" i="10" s="1"/>
  <c r="L55" i="10"/>
  <c r="T55" i="10"/>
  <c r="U56" i="10" s="1"/>
  <c r="E56" i="10"/>
  <c r="N55" i="10"/>
  <c r="O56" i="10" s="1"/>
  <c r="J56" i="10"/>
  <c r="P56" i="10"/>
  <c r="L56" i="22" a="1"/>
  <c r="L56" i="22" s="1"/>
  <c r="N56" i="22" s="1"/>
  <c r="R57" i="22"/>
  <c r="K57" i="22"/>
  <c r="P56" i="22"/>
  <c r="F57" i="22"/>
  <c r="W56" i="22"/>
  <c r="V56" i="22"/>
  <c r="O56" i="22"/>
  <c r="M56" i="10" l="1"/>
  <c r="S56" i="10"/>
  <c r="R56" i="10"/>
  <c r="M57" i="22"/>
  <c r="T57" i="22"/>
  <c r="S57" i="22" a="1"/>
  <c r="S57" i="22" s="1"/>
  <c r="U57" i="22" s="1"/>
  <c r="Q56" i="10" a="1"/>
  <c r="Q56" i="10" s="1"/>
  <c r="K56" i="10" a="1"/>
  <c r="K56" i="10" s="1"/>
  <c r="L56" i="10"/>
  <c r="T56" i="10"/>
  <c r="U57" i="10" s="1"/>
  <c r="P57" i="10"/>
  <c r="J57" i="10"/>
  <c r="E57" i="10"/>
  <c r="N56" i="10"/>
  <c r="O57" i="10" s="1"/>
  <c r="L57" i="22" a="1"/>
  <c r="L57" i="22" s="1"/>
  <c r="N57" i="22" s="1"/>
  <c r="R58" i="22"/>
  <c r="K58" i="22"/>
  <c r="O57" i="22"/>
  <c r="P57" i="22"/>
  <c r="F58" i="22"/>
  <c r="W57" i="22"/>
  <c r="V57" i="22"/>
  <c r="R57" i="10" l="1"/>
  <c r="S57" i="10"/>
  <c r="M58" i="22"/>
  <c r="T58" i="22"/>
  <c r="S58" i="22" a="1"/>
  <c r="S58" i="22" s="1"/>
  <c r="U58" i="22" s="1"/>
  <c r="L57" i="10"/>
  <c r="Q57" i="10" a="1"/>
  <c r="Q57" i="10" s="1"/>
  <c r="K57" i="10" a="1"/>
  <c r="K57" i="10" s="1"/>
  <c r="M57" i="10" s="1"/>
  <c r="N57" i="10"/>
  <c r="O58" i="10" s="1"/>
  <c r="T57" i="10"/>
  <c r="U58" i="10" s="1"/>
  <c r="J58" i="10"/>
  <c r="E58" i="10"/>
  <c r="P58" i="10"/>
  <c r="L58" i="22" a="1"/>
  <c r="L58" i="22" s="1"/>
  <c r="K59" i="22"/>
  <c r="R59" i="22"/>
  <c r="O58" i="22"/>
  <c r="P58" i="22"/>
  <c r="F59" i="22"/>
  <c r="W58" i="22"/>
  <c r="V58" i="22"/>
  <c r="N58" i="22" l="1"/>
  <c r="R58" i="10"/>
  <c r="M59" i="22"/>
  <c r="T59" i="22"/>
  <c r="S59" i="22" a="1"/>
  <c r="S59" i="22" s="1"/>
  <c r="U59" i="22" s="1"/>
  <c r="K58" i="10" a="1"/>
  <c r="K58" i="10" s="1"/>
  <c r="M58" i="10" s="1"/>
  <c r="L58" i="10"/>
  <c r="Q58" i="10" a="1"/>
  <c r="Q58" i="10" s="1"/>
  <c r="S58" i="10" s="1"/>
  <c r="N58" i="10"/>
  <c r="O59" i="10" s="1"/>
  <c r="T58" i="10"/>
  <c r="U59" i="10" s="1"/>
  <c r="J59" i="10"/>
  <c r="P59" i="10"/>
  <c r="E59" i="10"/>
  <c r="L59" i="22" a="1"/>
  <c r="L59" i="22" s="1"/>
  <c r="R60" i="22"/>
  <c r="K60" i="22"/>
  <c r="V59" i="22"/>
  <c r="P59" i="22"/>
  <c r="O59" i="22"/>
  <c r="W59" i="22"/>
  <c r="F60" i="22"/>
  <c r="N59" i="22" l="1"/>
  <c r="R59" i="10"/>
  <c r="M60" i="22"/>
  <c r="S60" i="22" a="1"/>
  <c r="S60" i="22" s="1"/>
  <c r="T60" i="22"/>
  <c r="U60" i="22" s="1"/>
  <c r="K59" i="10" a="1"/>
  <c r="K59" i="10" s="1"/>
  <c r="M59" i="10" s="1"/>
  <c r="L59" i="10"/>
  <c r="Q59" i="10" a="1"/>
  <c r="Q59" i="10" s="1"/>
  <c r="S59" i="10" s="1"/>
  <c r="T59" i="10"/>
  <c r="U60" i="10" s="1"/>
  <c r="N59" i="10"/>
  <c r="O60" i="10" s="1"/>
  <c r="E60" i="10"/>
  <c r="J60" i="10"/>
  <c r="P60" i="10"/>
  <c r="L60" i="22" a="1"/>
  <c r="L60" i="22" s="1"/>
  <c r="K61" i="22"/>
  <c r="R61" i="22"/>
  <c r="F61" i="22"/>
  <c r="O60" i="22"/>
  <c r="W60" i="22"/>
  <c r="V60" i="22"/>
  <c r="P60" i="22"/>
  <c r="N60" i="22" l="1"/>
  <c r="R60" i="10"/>
  <c r="M61" i="22"/>
  <c r="S61" i="22" a="1"/>
  <c r="S61" i="22" s="1"/>
  <c r="U61" i="22" s="1"/>
  <c r="T61" i="22"/>
  <c r="K60" i="10" a="1"/>
  <c r="K60" i="10" s="1"/>
  <c r="M60" i="10" s="1"/>
  <c r="L60" i="10"/>
  <c r="Q60" i="10" a="1"/>
  <c r="Q60" i="10" s="1"/>
  <c r="S60" i="10" s="1"/>
  <c r="N60" i="10"/>
  <c r="O61" i="10" s="1"/>
  <c r="T60" i="10"/>
  <c r="U61" i="10" s="1"/>
  <c r="P61" i="10"/>
  <c r="E61" i="10"/>
  <c r="J61" i="10"/>
  <c r="L61" i="22" a="1"/>
  <c r="L61" i="22" s="1"/>
  <c r="K62" i="22"/>
  <c r="R62" i="22"/>
  <c r="O61" i="22"/>
  <c r="V61" i="22"/>
  <c r="F62" i="22"/>
  <c r="W61" i="22"/>
  <c r="P61" i="22"/>
  <c r="N61" i="22" l="1"/>
  <c r="R61" i="10"/>
  <c r="M62" i="22"/>
  <c r="T62" i="22"/>
  <c r="S62" i="22" a="1"/>
  <c r="S62" i="22" s="1"/>
  <c r="U62" i="22" s="1"/>
  <c r="K61" i="10" a="1"/>
  <c r="K61" i="10" s="1"/>
  <c r="M61" i="10" s="1"/>
  <c r="L61" i="10"/>
  <c r="Q61" i="10" a="1"/>
  <c r="Q61" i="10" s="1"/>
  <c r="S61" i="10" s="1"/>
  <c r="N61" i="10"/>
  <c r="O62" i="10" s="1"/>
  <c r="T61" i="10"/>
  <c r="U62" i="10" s="1"/>
  <c r="J62" i="10"/>
  <c r="E62" i="10"/>
  <c r="P62" i="10"/>
  <c r="L62" i="22" a="1"/>
  <c r="L62" i="22" s="1"/>
  <c r="R63" i="22"/>
  <c r="K63" i="22"/>
  <c r="P62" i="22"/>
  <c r="O62" i="22"/>
  <c r="F63" i="22"/>
  <c r="W62" i="22"/>
  <c r="V62" i="22"/>
  <c r="R62" i="10" l="1"/>
  <c r="N62" i="22"/>
  <c r="M63" i="22"/>
  <c r="T63" i="22"/>
  <c r="S63" i="22" a="1"/>
  <c r="S63" i="22" s="1"/>
  <c r="Q62" i="10" a="1"/>
  <c r="Q62" i="10" s="1"/>
  <c r="S62" i="10" s="1"/>
  <c r="L62" i="10"/>
  <c r="K62" i="10" a="1"/>
  <c r="K62" i="10" s="1"/>
  <c r="M62" i="10" s="1"/>
  <c r="N62" i="10"/>
  <c r="O63" i="10" s="1"/>
  <c r="E63" i="10"/>
  <c r="R63" i="10" s="1"/>
  <c r="T62" i="10"/>
  <c r="U63" i="10" s="1"/>
  <c r="J63" i="10"/>
  <c r="P63" i="10"/>
  <c r="L63" i="22" a="1"/>
  <c r="L63" i="22" s="1"/>
  <c r="R64" i="22"/>
  <c r="K64" i="22"/>
  <c r="V63" i="22"/>
  <c r="P63" i="22"/>
  <c r="O63" i="22"/>
  <c r="F64" i="22"/>
  <c r="W63" i="22"/>
  <c r="P64" i="10" l="1"/>
  <c r="N63" i="22"/>
  <c r="U63" i="22"/>
  <c r="M64" i="22"/>
  <c r="T64" i="22"/>
  <c r="S64" i="22" a="1"/>
  <c r="S64" i="22" s="1"/>
  <c r="Q63" i="10" a="1"/>
  <c r="Q63" i="10" s="1"/>
  <c r="S63" i="10" s="1"/>
  <c r="L63" i="10"/>
  <c r="K63" i="10" a="1"/>
  <c r="K63" i="10" s="1"/>
  <c r="M63" i="10" s="1"/>
  <c r="T63" i="10"/>
  <c r="U64" i="10" s="1"/>
  <c r="N63" i="10"/>
  <c r="O64" i="10" s="1"/>
  <c r="J64" i="10"/>
  <c r="E64" i="10"/>
  <c r="R64" i="10" s="1"/>
  <c r="L64" i="22" a="1"/>
  <c r="L64" i="22" s="1"/>
  <c r="K65" i="22"/>
  <c r="R65" i="22"/>
  <c r="F65" i="22"/>
  <c r="P64" i="22"/>
  <c r="O64" i="22"/>
  <c r="W64" i="22"/>
  <c r="V64" i="22"/>
  <c r="N64" i="22" l="1"/>
  <c r="U64" i="22"/>
  <c r="M65" i="22"/>
  <c r="S65" i="22" a="1"/>
  <c r="S65" i="22" s="1"/>
  <c r="T65" i="22"/>
  <c r="Q64" i="10" a="1"/>
  <c r="Q64" i="10" s="1"/>
  <c r="S64" i="10" s="1"/>
  <c r="L64" i="10"/>
  <c r="K64" i="10" a="1"/>
  <c r="K64" i="10" s="1"/>
  <c r="M64" i="10" s="1"/>
  <c r="N64" i="10"/>
  <c r="O65" i="10" s="1"/>
  <c r="T64" i="10"/>
  <c r="U65" i="10" s="1"/>
  <c r="J65" i="10"/>
  <c r="P65" i="10"/>
  <c r="P66" i="10" s="1"/>
  <c r="E65" i="10"/>
  <c r="R65" i="10" s="1"/>
  <c r="L65" i="22" a="1"/>
  <c r="L65" i="22" s="1"/>
  <c r="K66" i="22"/>
  <c r="R66" i="22"/>
  <c r="O65" i="22"/>
  <c r="F66" i="22"/>
  <c r="W65" i="22"/>
  <c r="V65" i="22"/>
  <c r="P65" i="22"/>
  <c r="U65" i="22" l="1"/>
  <c r="N65" i="22"/>
  <c r="M66" i="22"/>
  <c r="T66" i="22"/>
  <c r="S66" i="22" a="1"/>
  <c r="S66" i="22" s="1"/>
  <c r="U66" i="22" s="1"/>
  <c r="Q65" i="10" a="1"/>
  <c r="Q65" i="10" s="1"/>
  <c r="S65" i="10" s="1"/>
  <c r="L65" i="10"/>
  <c r="K65" i="10" a="1"/>
  <c r="K65" i="10" s="1"/>
  <c r="M65" i="10" s="1"/>
  <c r="T65" i="10"/>
  <c r="U66" i="10" s="1"/>
  <c r="J66" i="10"/>
  <c r="E66" i="10"/>
  <c r="R66" i="10" s="1"/>
  <c r="N65" i="10"/>
  <c r="O66" i="10" s="1"/>
  <c r="L66" i="22" a="1"/>
  <c r="L66" i="22" s="1"/>
  <c r="K67" i="22"/>
  <c r="R67" i="22"/>
  <c r="F67" i="22"/>
  <c r="W66" i="22"/>
  <c r="V66" i="22"/>
  <c r="P66" i="22"/>
  <c r="O66" i="22"/>
  <c r="K68" i="22" l="1"/>
  <c r="N66" i="22"/>
  <c r="M67" i="22"/>
  <c r="T67" i="22"/>
  <c r="S67" i="22" a="1"/>
  <c r="S67" i="22" s="1"/>
  <c r="K66" i="10" a="1"/>
  <c r="K66" i="10" s="1"/>
  <c r="L66" i="10"/>
  <c r="Q66" i="10" a="1"/>
  <c r="Q66" i="10" s="1"/>
  <c r="S66" i="10" s="1"/>
  <c r="T66" i="10"/>
  <c r="U67" i="10" s="1"/>
  <c r="J67" i="10"/>
  <c r="P67" i="10"/>
  <c r="E67" i="10"/>
  <c r="R67" i="10" s="1"/>
  <c r="N66" i="10"/>
  <c r="O67" i="10" s="1"/>
  <c r="L67" i="22" a="1"/>
  <c r="L67" i="22" s="1"/>
  <c r="R68" i="22"/>
  <c r="V67" i="22"/>
  <c r="F68" i="22"/>
  <c r="W67" i="22"/>
  <c r="P67" i="22"/>
  <c r="O67" i="22"/>
  <c r="P68" i="10" l="1"/>
  <c r="U67" i="22"/>
  <c r="M66" i="10"/>
  <c r="M68" i="22"/>
  <c r="T68" i="22"/>
  <c r="S68" i="22" a="1"/>
  <c r="S68" i="22" s="1"/>
  <c r="K67" i="10" a="1"/>
  <c r="K67" i="10" s="1"/>
  <c r="Q67" i="10" a="1"/>
  <c r="Q67" i="10" s="1"/>
  <c r="S67" i="10" s="1"/>
  <c r="L67" i="10"/>
  <c r="T67" i="10"/>
  <c r="U68" i="10" s="1"/>
  <c r="E68" i="10"/>
  <c r="R68" i="10" s="1"/>
  <c r="N67" i="10"/>
  <c r="O68" i="10" s="1"/>
  <c r="J68" i="10"/>
  <c r="N67" i="22"/>
  <c r="L68" i="22" a="1"/>
  <c r="L68" i="22" s="1"/>
  <c r="R69" i="22"/>
  <c r="K69" i="22"/>
  <c r="W68" i="22"/>
  <c r="V68" i="22"/>
  <c r="F69" i="22"/>
  <c r="P68" i="22"/>
  <c r="O68" i="22"/>
  <c r="U68" i="22" l="1"/>
  <c r="N68" i="22"/>
  <c r="M69" i="22"/>
  <c r="T69" i="22"/>
  <c r="S69" i="22" a="1"/>
  <c r="S69" i="22" s="1"/>
  <c r="M67" i="10"/>
  <c r="Q68" i="10" a="1"/>
  <c r="Q68" i="10" s="1"/>
  <c r="S68" i="10" s="1"/>
  <c r="K68" i="10" a="1"/>
  <c r="K68" i="10" s="1"/>
  <c r="L68" i="10"/>
  <c r="T68" i="10"/>
  <c r="U69" i="10" s="1"/>
  <c r="J69" i="10"/>
  <c r="E69" i="10"/>
  <c r="R69" i="10" s="1"/>
  <c r="P69" i="10"/>
  <c r="N68" i="10"/>
  <c r="O69" i="10" s="1"/>
  <c r="L69" i="22" a="1"/>
  <c r="L69" i="22" s="1"/>
  <c r="K70" i="22"/>
  <c r="R70" i="22"/>
  <c r="O69" i="22"/>
  <c r="V69" i="22"/>
  <c r="F70" i="22"/>
  <c r="W69" i="22"/>
  <c r="P69" i="22"/>
  <c r="U69" i="22" l="1"/>
  <c r="M70" i="22"/>
  <c r="T70" i="22"/>
  <c r="S70" i="22" a="1"/>
  <c r="S70" i="22" s="1"/>
  <c r="M68" i="10"/>
  <c r="L69" i="10"/>
  <c r="Q69" i="10" a="1"/>
  <c r="Q69" i="10" s="1"/>
  <c r="S69" i="10" s="1"/>
  <c r="K69" i="10" a="1"/>
  <c r="K69" i="10" s="1"/>
  <c r="M69" i="10" s="1"/>
  <c r="P70" i="10"/>
  <c r="T69" i="10"/>
  <c r="U70" i="10" s="1"/>
  <c r="E70" i="10"/>
  <c r="R70" i="10" s="1"/>
  <c r="N69" i="10"/>
  <c r="O70" i="10" s="1"/>
  <c r="J70" i="10"/>
  <c r="N69" i="22"/>
  <c r="L70" i="22" a="1"/>
  <c r="L70" i="22" s="1"/>
  <c r="R71" i="22"/>
  <c r="K71" i="22"/>
  <c r="O70" i="22"/>
  <c r="P70" i="22"/>
  <c r="F71" i="22"/>
  <c r="W70" i="22"/>
  <c r="V70" i="22"/>
  <c r="U70" i="22" l="1"/>
  <c r="M71" i="22"/>
  <c r="T71" i="22"/>
  <c r="S71" i="22" a="1"/>
  <c r="S71" i="22" s="1"/>
  <c r="L70" i="10"/>
  <c r="Q70" i="10" a="1"/>
  <c r="Q70" i="10" s="1"/>
  <c r="S70" i="10" s="1"/>
  <c r="K70" i="10" a="1"/>
  <c r="K70" i="10" s="1"/>
  <c r="M70" i="10" s="1"/>
  <c r="T70" i="10"/>
  <c r="U71" i="10" s="1"/>
  <c r="P71" i="10"/>
  <c r="E71" i="10"/>
  <c r="R71" i="10" s="1"/>
  <c r="J71" i="10"/>
  <c r="N70" i="10"/>
  <c r="O71" i="10" s="1"/>
  <c r="N70" i="22"/>
  <c r="L71" i="22" a="1"/>
  <c r="L71" i="22" s="1"/>
  <c r="K72" i="22"/>
  <c r="R72" i="22"/>
  <c r="V71" i="22"/>
  <c r="P71" i="22"/>
  <c r="W71" i="22"/>
  <c r="O71" i="22"/>
  <c r="F72" i="22"/>
  <c r="U71" i="22" l="1"/>
  <c r="M72" i="22"/>
  <c r="T72" i="22"/>
  <c r="S72" i="22" a="1"/>
  <c r="S72" i="22" s="1"/>
  <c r="L71" i="10"/>
  <c r="Q71" i="10" a="1"/>
  <c r="Q71" i="10" s="1"/>
  <c r="S71" i="10" s="1"/>
  <c r="K71" i="10" a="1"/>
  <c r="K71" i="10" s="1"/>
  <c r="M71" i="10" s="1"/>
  <c r="J72" i="10"/>
  <c r="T71" i="10"/>
  <c r="U72" i="10" s="1"/>
  <c r="E72" i="10"/>
  <c r="R72" i="10" s="1"/>
  <c r="N71" i="10"/>
  <c r="O72" i="10" s="1"/>
  <c r="P72" i="10"/>
  <c r="N71" i="22"/>
  <c r="L72" i="22" a="1"/>
  <c r="L72" i="22" s="1"/>
  <c r="R73" i="22"/>
  <c r="K73" i="22"/>
  <c r="F73" i="22"/>
  <c r="P72" i="22"/>
  <c r="O72" i="22"/>
  <c r="W72" i="22"/>
  <c r="V72" i="22"/>
  <c r="U72" i="22" l="1"/>
  <c r="M73" i="22"/>
  <c r="S73" i="22" a="1"/>
  <c r="S73" i="22" s="1"/>
  <c r="T73" i="22"/>
  <c r="N72" i="22"/>
  <c r="L72" i="10"/>
  <c r="Q72" i="10" a="1"/>
  <c r="Q72" i="10" s="1"/>
  <c r="S72" i="10" s="1"/>
  <c r="K72" i="10" a="1"/>
  <c r="K72" i="10" s="1"/>
  <c r="M72" i="10" s="1"/>
  <c r="T72" i="10"/>
  <c r="U73" i="10" s="1"/>
  <c r="J73" i="10"/>
  <c r="P73" i="10"/>
  <c r="E73" i="10"/>
  <c r="R73" i="10" s="1"/>
  <c r="N72" i="10"/>
  <c r="O73" i="10" s="1"/>
  <c r="L73" i="22" a="1"/>
  <c r="L73" i="22" s="1"/>
  <c r="K74" i="22"/>
  <c r="R74" i="22"/>
  <c r="O73" i="22"/>
  <c r="V73" i="22"/>
  <c r="P73" i="22"/>
  <c r="F74" i="22"/>
  <c r="W73" i="22"/>
  <c r="U73" i="22" l="1"/>
  <c r="M74" i="22"/>
  <c r="T74" i="22"/>
  <c r="S74" i="22" a="1"/>
  <c r="S74" i="22" s="1"/>
  <c r="K73" i="10" a="1"/>
  <c r="K73" i="10" s="1"/>
  <c r="L73" i="10"/>
  <c r="Q73" i="10" a="1"/>
  <c r="Q73" i="10" s="1"/>
  <c r="S73" i="10" s="1"/>
  <c r="J74" i="10"/>
  <c r="N73" i="10"/>
  <c r="O74" i="10" s="1"/>
  <c r="T73" i="10"/>
  <c r="U74" i="10" s="1"/>
  <c r="E74" i="10"/>
  <c r="R74" i="10" s="1"/>
  <c r="P74" i="10"/>
  <c r="N73" i="22"/>
  <c r="L74" i="22" a="1"/>
  <c r="L74" i="22" s="1"/>
  <c r="R75" i="22"/>
  <c r="K75" i="22"/>
  <c r="P74" i="22"/>
  <c r="O74" i="22"/>
  <c r="F75" i="22"/>
  <c r="W74" i="22"/>
  <c r="V74" i="22"/>
  <c r="U74" i="22" l="1"/>
  <c r="M75" i="22"/>
  <c r="S75" i="22" a="1"/>
  <c r="S75" i="22" s="1"/>
  <c r="T75" i="22"/>
  <c r="N74" i="22"/>
  <c r="M73" i="10"/>
  <c r="L74" i="10"/>
  <c r="K74" i="10" a="1"/>
  <c r="K74" i="10" s="1"/>
  <c r="Q74" i="10" a="1"/>
  <c r="Q74" i="10" s="1"/>
  <c r="S74" i="10" s="1"/>
  <c r="T74" i="10"/>
  <c r="U75" i="10" s="1"/>
  <c r="J75" i="10"/>
  <c r="P75" i="10"/>
  <c r="E75" i="10"/>
  <c r="R75" i="10" s="1"/>
  <c r="N74" i="10"/>
  <c r="O75" i="10" s="1"/>
  <c r="L75" i="22" a="1"/>
  <c r="L75" i="22" s="1"/>
  <c r="K76" i="22"/>
  <c r="R76" i="22"/>
  <c r="V75" i="22"/>
  <c r="P75" i="22"/>
  <c r="O75" i="22"/>
  <c r="F76" i="22"/>
  <c r="W75" i="22"/>
  <c r="U75" i="22" l="1"/>
  <c r="M76" i="22"/>
  <c r="T76" i="22"/>
  <c r="S76" i="22" a="1"/>
  <c r="S76" i="22" s="1"/>
  <c r="M74" i="10"/>
  <c r="Q75" i="10" a="1"/>
  <c r="Q75" i="10" s="1"/>
  <c r="S75" i="10" s="1"/>
  <c r="K75" i="10" a="1"/>
  <c r="K75" i="10" s="1"/>
  <c r="L75" i="10"/>
  <c r="P76" i="10"/>
  <c r="J76" i="10"/>
  <c r="T75" i="10"/>
  <c r="U76" i="10" s="1"/>
  <c r="N75" i="10"/>
  <c r="O76" i="10" s="1"/>
  <c r="E76" i="10"/>
  <c r="R76" i="10" s="1"/>
  <c r="N75" i="22"/>
  <c r="L76" i="22" a="1"/>
  <c r="L76" i="22" s="1"/>
  <c r="R77" i="22"/>
  <c r="K77" i="22"/>
  <c r="V76" i="22"/>
  <c r="F77" i="22"/>
  <c r="W76" i="22"/>
  <c r="P76" i="22"/>
  <c r="O76" i="22"/>
  <c r="U76" i="22" l="1"/>
  <c r="N76" i="22"/>
  <c r="M77" i="22"/>
  <c r="S77" i="22" a="1"/>
  <c r="S77" i="22" s="1"/>
  <c r="T77" i="22"/>
  <c r="M75" i="10"/>
  <c r="Q76" i="10" a="1"/>
  <c r="Q76" i="10" s="1"/>
  <c r="S76" i="10" s="1"/>
  <c r="K76" i="10" a="1"/>
  <c r="K76" i="10" s="1"/>
  <c r="L76" i="10"/>
  <c r="T76" i="10"/>
  <c r="U77" i="10" s="1"/>
  <c r="J77" i="10"/>
  <c r="P77" i="10"/>
  <c r="N76" i="10"/>
  <c r="O77" i="10" s="1"/>
  <c r="E77" i="10"/>
  <c r="R77" i="10" s="1"/>
  <c r="L77" i="22" a="1"/>
  <c r="L77" i="22" s="1"/>
  <c r="K78" i="22"/>
  <c r="R78" i="22"/>
  <c r="O77" i="22"/>
  <c r="F78" i="22"/>
  <c r="W77" i="22"/>
  <c r="V77" i="22"/>
  <c r="P77" i="22"/>
  <c r="U77" i="22" l="1"/>
  <c r="N77" i="22"/>
  <c r="M78" i="22"/>
  <c r="T78" i="22"/>
  <c r="S78" i="22" a="1"/>
  <c r="S78" i="22" s="1"/>
  <c r="U78" i="22" s="1"/>
  <c r="M76" i="10"/>
  <c r="Q77" i="10" a="1"/>
  <c r="Q77" i="10" s="1"/>
  <c r="S77" i="10" s="1"/>
  <c r="K77" i="10" a="1"/>
  <c r="K77" i="10" s="1"/>
  <c r="L77" i="10"/>
  <c r="N77" i="10"/>
  <c r="O78" i="10" s="1"/>
  <c r="T77" i="10"/>
  <c r="U78" i="10" s="1"/>
  <c r="E78" i="10"/>
  <c r="R78" i="10" s="1"/>
  <c r="P78" i="10"/>
  <c r="J78" i="10"/>
  <c r="L78" i="22" a="1"/>
  <c r="L78" i="22" s="1"/>
  <c r="R79" i="22"/>
  <c r="K79" i="22"/>
  <c r="F79" i="22"/>
  <c r="W78" i="22"/>
  <c r="V78" i="22"/>
  <c r="P78" i="22"/>
  <c r="O78" i="22"/>
  <c r="M79" i="22" l="1"/>
  <c r="S79" i="22" a="1"/>
  <c r="S79" i="22" s="1"/>
  <c r="T79" i="22"/>
  <c r="M77" i="10"/>
  <c r="L78" i="10"/>
  <c r="Q78" i="10" a="1"/>
  <c r="Q78" i="10" s="1"/>
  <c r="S78" i="10" s="1"/>
  <c r="K78" i="10" a="1"/>
  <c r="K78" i="10" s="1"/>
  <c r="M78" i="10" s="1"/>
  <c r="T78" i="10"/>
  <c r="U79" i="10" s="1"/>
  <c r="E79" i="10"/>
  <c r="R79" i="10" s="1"/>
  <c r="J79" i="10"/>
  <c r="J80" i="10" s="1"/>
  <c r="P79" i="10"/>
  <c r="P80" i="10" s="1"/>
  <c r="N78" i="10"/>
  <c r="O79" i="10" s="1"/>
  <c r="N78" i="22"/>
  <c r="L79" i="22" a="1"/>
  <c r="L79" i="22" s="1"/>
  <c r="K80" i="22"/>
  <c r="R80" i="22"/>
  <c r="V79" i="22"/>
  <c r="F80" i="22"/>
  <c r="W79" i="22"/>
  <c r="P79" i="22"/>
  <c r="O79" i="22"/>
  <c r="U79" i="22" l="1"/>
  <c r="M80" i="22"/>
  <c r="T80" i="22"/>
  <c r="S80" i="22" a="1"/>
  <c r="S80" i="22" s="1"/>
  <c r="N79" i="22"/>
  <c r="L79" i="10"/>
  <c r="Q79" i="10" a="1"/>
  <c r="Q79" i="10" s="1"/>
  <c r="S79" i="10" s="1"/>
  <c r="K79" i="10" a="1"/>
  <c r="K79" i="10" s="1"/>
  <c r="T79" i="10"/>
  <c r="U80" i="10" s="1"/>
  <c r="N79" i="10"/>
  <c r="O80" i="10" s="1"/>
  <c r="E80" i="10"/>
  <c r="R80" i="10" s="1"/>
  <c r="L80" i="22" a="1"/>
  <c r="L80" i="22" s="1"/>
  <c r="R81" i="22"/>
  <c r="K81" i="22"/>
  <c r="F81" i="22"/>
  <c r="W80" i="22"/>
  <c r="P80" i="22"/>
  <c r="O80" i="22"/>
  <c r="V80" i="22"/>
  <c r="U80" i="22" l="1"/>
  <c r="M79" i="10"/>
  <c r="M81" i="22"/>
  <c r="T81" i="22"/>
  <c r="S81" i="22" a="1"/>
  <c r="S81" i="22" s="1"/>
  <c r="U81" i="22" s="1"/>
  <c r="K80" i="10" a="1"/>
  <c r="K80" i="10" s="1"/>
  <c r="L80" i="10"/>
  <c r="Q80" i="10" a="1"/>
  <c r="Q80" i="10" s="1"/>
  <c r="S80" i="10" s="1"/>
  <c r="T80" i="10"/>
  <c r="U81" i="10" s="1"/>
  <c r="N80" i="10"/>
  <c r="O81" i="10" s="1"/>
  <c r="J81" i="10"/>
  <c r="P81" i="10"/>
  <c r="E81" i="10"/>
  <c r="R81" i="10" s="1"/>
  <c r="N80" i="22"/>
  <c r="L81" i="22" a="1"/>
  <c r="L81" i="22" s="1"/>
  <c r="N81" i="22" s="1"/>
  <c r="K82" i="22"/>
  <c r="R82" i="22"/>
  <c r="O81" i="22"/>
  <c r="F82" i="22"/>
  <c r="W81" i="22"/>
  <c r="V81" i="22"/>
  <c r="P81" i="22"/>
  <c r="M82" i="22" l="1"/>
  <c r="S82" i="22" a="1"/>
  <c r="S82" i="22" s="1"/>
  <c r="T82" i="22"/>
  <c r="M80" i="10"/>
  <c r="Q81" i="10" a="1"/>
  <c r="Q81" i="10" s="1"/>
  <c r="S81" i="10" s="1"/>
  <c r="L81" i="10"/>
  <c r="K81" i="10" a="1"/>
  <c r="K81" i="10" s="1"/>
  <c r="J82" i="10"/>
  <c r="P82" i="10"/>
  <c r="T81" i="10"/>
  <c r="U82" i="10" s="1"/>
  <c r="E82" i="10"/>
  <c r="R82" i="10" s="1"/>
  <c r="N81" i="10"/>
  <c r="O82" i="10" s="1"/>
  <c r="L82" i="22" a="1"/>
  <c r="L82" i="22" s="1"/>
  <c r="R83" i="22"/>
  <c r="K83" i="22"/>
  <c r="O82" i="22"/>
  <c r="W82" i="22"/>
  <c r="V82" i="22"/>
  <c r="P82" i="22"/>
  <c r="F83" i="22"/>
  <c r="U82" i="22" l="1"/>
  <c r="M81" i="10"/>
  <c r="M83" i="22"/>
  <c r="S83" i="22" a="1"/>
  <c r="S83" i="22" s="1"/>
  <c r="T83" i="22"/>
  <c r="Q82" i="10" a="1"/>
  <c r="Q82" i="10" s="1"/>
  <c r="S82" i="10" s="1"/>
  <c r="L82" i="10"/>
  <c r="K82" i="10" a="1"/>
  <c r="K82" i="10" s="1"/>
  <c r="T82" i="10"/>
  <c r="U83" i="10" s="1"/>
  <c r="J83" i="10"/>
  <c r="P83" i="10"/>
  <c r="E83" i="10"/>
  <c r="R83" i="10" s="1"/>
  <c r="N82" i="10"/>
  <c r="O83" i="10" s="1"/>
  <c r="N82" i="22"/>
  <c r="L83" i="22" a="1"/>
  <c r="L83" i="22" s="1"/>
  <c r="N83" i="22" s="1"/>
  <c r="R84" i="22"/>
  <c r="K84" i="22"/>
  <c r="V83" i="22"/>
  <c r="W83" i="22"/>
  <c r="P83" i="22"/>
  <c r="O83" i="22"/>
  <c r="F84" i="22"/>
  <c r="U83" i="22" l="1"/>
  <c r="M82" i="10"/>
  <c r="M84" i="22"/>
  <c r="T84" i="22"/>
  <c r="S84" i="22" a="1"/>
  <c r="S84" i="22" s="1"/>
  <c r="U84" i="22" s="1"/>
  <c r="L83" i="10"/>
  <c r="K83" i="10" a="1"/>
  <c r="K83" i="10" s="1"/>
  <c r="Q83" i="10" a="1"/>
  <c r="Q83" i="10" s="1"/>
  <c r="S83" i="10" s="1"/>
  <c r="J84" i="10"/>
  <c r="E84" i="10"/>
  <c r="R84" i="10" s="1"/>
  <c r="N83" i="10"/>
  <c r="O84" i="10" s="1"/>
  <c r="T83" i="10"/>
  <c r="U84" i="10" s="1"/>
  <c r="P84" i="10"/>
  <c r="L84" i="22" a="1"/>
  <c r="L84" i="22" s="1"/>
  <c r="R85" i="22"/>
  <c r="K85" i="22"/>
  <c r="F85" i="22"/>
  <c r="W84" i="22"/>
  <c r="V84" i="22"/>
  <c r="P84" i="22"/>
  <c r="O84" i="22"/>
  <c r="M85" i="22" l="1"/>
  <c r="S85" i="22" a="1"/>
  <c r="S85" i="22" s="1"/>
  <c r="T85" i="22"/>
  <c r="M83" i="10"/>
  <c r="L84" i="10"/>
  <c r="Q84" i="10" a="1"/>
  <c r="Q84" i="10" s="1"/>
  <c r="S84" i="10" s="1"/>
  <c r="K84" i="10" a="1"/>
  <c r="K84" i="10" s="1"/>
  <c r="M84" i="10" s="1"/>
  <c r="N84" i="10"/>
  <c r="O85" i="10" s="1"/>
  <c r="T84" i="10"/>
  <c r="U85" i="10" s="1"/>
  <c r="J85" i="10"/>
  <c r="E85" i="10"/>
  <c r="R85" i="10" s="1"/>
  <c r="P85" i="10"/>
  <c r="N84" i="22"/>
  <c r="L85" i="22" a="1"/>
  <c r="L85" i="22" s="1"/>
  <c r="R86" i="22"/>
  <c r="K86" i="22"/>
  <c r="O85" i="22"/>
  <c r="V85" i="22"/>
  <c r="P85" i="22"/>
  <c r="F86" i="22"/>
  <c r="W85" i="22"/>
  <c r="U85" i="22" l="1"/>
  <c r="M86" i="22"/>
  <c r="S86" i="22" a="1"/>
  <c r="S86" i="22" s="1"/>
  <c r="T86" i="22"/>
  <c r="L85" i="10"/>
  <c r="Q85" i="10" a="1"/>
  <c r="Q85" i="10" s="1"/>
  <c r="S85" i="10" s="1"/>
  <c r="K85" i="10" a="1"/>
  <c r="K85" i="10" s="1"/>
  <c r="P86" i="10"/>
  <c r="J86" i="10"/>
  <c r="N85" i="10"/>
  <c r="O86" i="10" s="1"/>
  <c r="T85" i="10"/>
  <c r="U86" i="10" s="1"/>
  <c r="E86" i="10"/>
  <c r="R86" i="10" s="1"/>
  <c r="N85" i="22"/>
  <c r="L86" i="22" a="1"/>
  <c r="L86" i="22" s="1"/>
  <c r="R87" i="22"/>
  <c r="K87" i="22"/>
  <c r="P86" i="22"/>
  <c r="F87" i="22"/>
  <c r="W86" i="22"/>
  <c r="V86" i="22"/>
  <c r="O86" i="22"/>
  <c r="U86" i="22" l="1"/>
  <c r="M87" i="22"/>
  <c r="T87" i="22"/>
  <c r="S87" i="22" a="1"/>
  <c r="S87" i="22" s="1"/>
  <c r="M85" i="10"/>
  <c r="N86" i="22"/>
  <c r="L86" i="10"/>
  <c r="K86" i="10" a="1"/>
  <c r="K86" i="10" s="1"/>
  <c r="M86" i="10" s="1"/>
  <c r="Q86" i="10" a="1"/>
  <c r="Q86" i="10" s="1"/>
  <c r="S86" i="10" s="1"/>
  <c r="T86" i="10"/>
  <c r="U87" i="10" s="1"/>
  <c r="E87" i="10"/>
  <c r="R87" i="10" s="1"/>
  <c r="J87" i="10"/>
  <c r="P87" i="10"/>
  <c r="N86" i="10"/>
  <c r="O87" i="10" s="1"/>
  <c r="L87" i="22" a="1"/>
  <c r="L87" i="22" s="1"/>
  <c r="R88" i="22"/>
  <c r="K88" i="22"/>
  <c r="V87" i="22"/>
  <c r="P87" i="22"/>
  <c r="O87" i="22"/>
  <c r="F88" i="22"/>
  <c r="W87" i="22"/>
  <c r="P88" i="10" l="1"/>
  <c r="U87" i="22"/>
  <c r="M88" i="22"/>
  <c r="T88" i="22"/>
  <c r="S88" i="22" a="1"/>
  <c r="S88" i="22" s="1"/>
  <c r="K87" i="10" a="1"/>
  <c r="K87" i="10" s="1"/>
  <c r="L87" i="10"/>
  <c r="Q87" i="10" a="1"/>
  <c r="Q87" i="10" s="1"/>
  <c r="S87" i="10" s="1"/>
  <c r="J88" i="10"/>
  <c r="E88" i="10"/>
  <c r="R88" i="10" s="1"/>
  <c r="T87" i="10"/>
  <c r="U88" i="10" s="1"/>
  <c r="N87" i="10"/>
  <c r="O88" i="10" s="1"/>
  <c r="N87" i="22"/>
  <c r="L88" i="22" a="1"/>
  <c r="L88" i="22" s="1"/>
  <c r="R89" i="22"/>
  <c r="K89" i="22"/>
  <c r="P88" i="22"/>
  <c r="O88" i="22"/>
  <c r="V88" i="22"/>
  <c r="F89" i="22"/>
  <c r="W88" i="22"/>
  <c r="U88" i="22" l="1"/>
  <c r="N88" i="22"/>
  <c r="M89" i="22"/>
  <c r="T89" i="22"/>
  <c r="S89" i="22" a="1"/>
  <c r="S89" i="22" s="1"/>
  <c r="M87" i="10"/>
  <c r="Q88" i="10" a="1"/>
  <c r="Q88" i="10" s="1"/>
  <c r="S88" i="10" s="1"/>
  <c r="K88" i="10" a="1"/>
  <c r="K88" i="10" s="1"/>
  <c r="L88" i="10"/>
  <c r="T88" i="10"/>
  <c r="U89" i="10" s="1"/>
  <c r="J89" i="10"/>
  <c r="P89" i="10"/>
  <c r="E89" i="10"/>
  <c r="R89" i="10" s="1"/>
  <c r="N88" i="10"/>
  <c r="O89" i="10" s="1"/>
  <c r="L89" i="22" a="1"/>
  <c r="L89" i="22" s="1"/>
  <c r="R90" i="22"/>
  <c r="K90" i="22"/>
  <c r="O89" i="22"/>
  <c r="P89" i="22"/>
  <c r="F90" i="22"/>
  <c r="W89" i="22"/>
  <c r="V89" i="22"/>
  <c r="U89" i="22" l="1"/>
  <c r="M90" i="22"/>
  <c r="S90" i="22" a="1"/>
  <c r="S90" i="22" s="1"/>
  <c r="T90" i="22"/>
  <c r="M88" i="10"/>
  <c r="Q89" i="10" a="1"/>
  <c r="Q89" i="10" s="1"/>
  <c r="S89" i="10" s="1"/>
  <c r="K89" i="10" a="1"/>
  <c r="K89" i="10" s="1"/>
  <c r="L89" i="10"/>
  <c r="J90" i="10"/>
  <c r="T89" i="10"/>
  <c r="U90" i="10" s="1"/>
  <c r="E90" i="10"/>
  <c r="R90" i="10" s="1"/>
  <c r="N89" i="10"/>
  <c r="O90" i="10" s="1"/>
  <c r="P90" i="10"/>
  <c r="N89" i="22"/>
  <c r="L90" i="22" a="1"/>
  <c r="L90" i="22" s="1"/>
  <c r="R91" i="22"/>
  <c r="K91" i="22"/>
  <c r="F91" i="22"/>
  <c r="O90" i="22"/>
  <c r="W90" i="22"/>
  <c r="V90" i="22"/>
  <c r="P90" i="22"/>
  <c r="U90" i="22" l="1"/>
  <c r="M91" i="22"/>
  <c r="S91" i="22" a="1"/>
  <c r="S91" i="22" s="1"/>
  <c r="T91" i="22"/>
  <c r="N90" i="22"/>
  <c r="M89" i="10"/>
  <c r="K90" i="10" a="1"/>
  <c r="K90" i="10" s="1"/>
  <c r="Q90" i="10" a="1"/>
  <c r="Q90" i="10" s="1"/>
  <c r="S90" i="10" s="1"/>
  <c r="L90" i="10"/>
  <c r="J91" i="10"/>
  <c r="P91" i="10"/>
  <c r="N90" i="10"/>
  <c r="O91" i="10" s="1"/>
  <c r="E91" i="10"/>
  <c r="R91" i="10" s="1"/>
  <c r="T90" i="10"/>
  <c r="U91" i="10" s="1"/>
  <c r="L91" i="22" a="1"/>
  <c r="L91" i="22" s="1"/>
  <c r="R92" i="22"/>
  <c r="K92" i="22"/>
  <c r="V91" i="22"/>
  <c r="F92" i="22"/>
  <c r="W91" i="22"/>
  <c r="P91" i="22"/>
  <c r="O91" i="22"/>
  <c r="N91" i="22" l="1"/>
  <c r="U91" i="22"/>
  <c r="M92" i="22"/>
  <c r="S92" i="22" a="1"/>
  <c r="S92" i="22" s="1"/>
  <c r="T92" i="22"/>
  <c r="M90" i="10"/>
  <c r="K91" i="10" a="1"/>
  <c r="K91" i="10" s="1"/>
  <c r="Q91" i="10" a="1"/>
  <c r="Q91" i="10" s="1"/>
  <c r="S91" i="10" s="1"/>
  <c r="L91" i="10"/>
  <c r="P92" i="10"/>
  <c r="J92" i="10"/>
  <c r="E92" i="10"/>
  <c r="R92" i="10" s="1"/>
  <c r="T91" i="10"/>
  <c r="U92" i="10" s="1"/>
  <c r="N91" i="10"/>
  <c r="O92" i="10" s="1"/>
  <c r="L92" i="22" a="1"/>
  <c r="L92" i="22" s="1"/>
  <c r="R93" i="22"/>
  <c r="K93" i="22"/>
  <c r="P92" i="22"/>
  <c r="O92" i="22"/>
  <c r="V92" i="22"/>
  <c r="F93" i="22"/>
  <c r="W92" i="22"/>
  <c r="U92" i="22" l="1"/>
  <c r="M93" i="22"/>
  <c r="T93" i="22"/>
  <c r="S93" i="22" a="1"/>
  <c r="S93" i="22" s="1"/>
  <c r="M91" i="10"/>
  <c r="K92" i="10" a="1"/>
  <c r="K92" i="10" s="1"/>
  <c r="Q92" i="10" a="1"/>
  <c r="Q92" i="10" s="1"/>
  <c r="S92" i="10" s="1"/>
  <c r="L92" i="10"/>
  <c r="J93" i="10"/>
  <c r="P93" i="10"/>
  <c r="N92" i="10"/>
  <c r="O93" i="10" s="1"/>
  <c r="E93" i="10"/>
  <c r="R93" i="10" s="1"/>
  <c r="T92" i="10"/>
  <c r="U93" i="10" s="1"/>
  <c r="N92" i="22"/>
  <c r="L93" i="22" a="1"/>
  <c r="L93" i="22" s="1"/>
  <c r="R94" i="22"/>
  <c r="K94" i="22"/>
  <c r="O93" i="22"/>
  <c r="F94" i="22"/>
  <c r="P93" i="22"/>
  <c r="W93" i="22"/>
  <c r="V93" i="22"/>
  <c r="U93" i="22" l="1"/>
  <c r="M94" i="22"/>
  <c r="T94" i="22"/>
  <c r="S94" i="22" a="1"/>
  <c r="S94" i="22" s="1"/>
  <c r="N93" i="22"/>
  <c r="M92" i="10"/>
  <c r="L93" i="10"/>
  <c r="Q93" i="10" a="1"/>
  <c r="Q93" i="10" s="1"/>
  <c r="S93" i="10" s="1"/>
  <c r="K93" i="10" a="1"/>
  <c r="K93" i="10" s="1"/>
  <c r="T93" i="10"/>
  <c r="U94" i="10" s="1"/>
  <c r="J94" i="10"/>
  <c r="N93" i="10"/>
  <c r="O94" i="10" s="1"/>
  <c r="E94" i="10"/>
  <c r="R94" i="10" s="1"/>
  <c r="P94" i="10"/>
  <c r="L94" i="22" a="1"/>
  <c r="L94" i="22" s="1"/>
  <c r="R95" i="22"/>
  <c r="K95" i="22"/>
  <c r="O94" i="22"/>
  <c r="F95" i="22"/>
  <c r="W94" i="22"/>
  <c r="V94" i="22"/>
  <c r="P94" i="22"/>
  <c r="U94" i="22" l="1"/>
  <c r="M93" i="10"/>
  <c r="M95" i="22"/>
  <c r="T95" i="22"/>
  <c r="S95" i="22" a="1"/>
  <c r="S95" i="22" s="1"/>
  <c r="K94" i="10" a="1"/>
  <c r="K94" i="10" s="1"/>
  <c r="L94" i="10"/>
  <c r="Q94" i="10" a="1"/>
  <c r="Q94" i="10" s="1"/>
  <c r="S94" i="10" s="1"/>
  <c r="T94" i="10"/>
  <c r="U95" i="10" s="1"/>
  <c r="J95" i="10"/>
  <c r="P95" i="10"/>
  <c r="E95" i="10"/>
  <c r="R95" i="10" s="1"/>
  <c r="N94" i="10"/>
  <c r="O95" i="10" s="1"/>
  <c r="N94" i="22"/>
  <c r="L95" i="22" a="1"/>
  <c r="L95" i="22" s="1"/>
  <c r="N95" i="22" s="1"/>
  <c r="R96" i="22"/>
  <c r="K96" i="22"/>
  <c r="V95" i="22"/>
  <c r="F96" i="22"/>
  <c r="W95" i="22"/>
  <c r="P95" i="22"/>
  <c r="O95" i="22"/>
  <c r="U95" i="22" l="1"/>
  <c r="M96" i="22"/>
  <c r="T96" i="22"/>
  <c r="S96" i="22" a="1"/>
  <c r="S96" i="22" s="1"/>
  <c r="M94" i="10"/>
  <c r="Q95" i="10" a="1"/>
  <c r="Q95" i="10" s="1"/>
  <c r="S95" i="10" s="1"/>
  <c r="K95" i="10" a="1"/>
  <c r="K95" i="10" s="1"/>
  <c r="L95" i="10"/>
  <c r="T95" i="10"/>
  <c r="U96" i="10" s="1"/>
  <c r="J96" i="10"/>
  <c r="E96" i="10"/>
  <c r="R96" i="10" s="1"/>
  <c r="N95" i="10"/>
  <c r="O96" i="10" s="1"/>
  <c r="P96" i="10"/>
  <c r="L96" i="22" a="1"/>
  <c r="L96" i="22" s="1"/>
  <c r="R97" i="22"/>
  <c r="K97" i="22"/>
  <c r="F97" i="22"/>
  <c r="W96" i="22"/>
  <c r="V96" i="22"/>
  <c r="P96" i="22"/>
  <c r="O96" i="22"/>
  <c r="U96" i="22" l="1"/>
  <c r="M97" i="22"/>
  <c r="S97" i="22" a="1"/>
  <c r="S97" i="22" s="1"/>
  <c r="T97" i="22"/>
  <c r="M95" i="10"/>
  <c r="Q96" i="10" a="1"/>
  <c r="Q96" i="10" s="1"/>
  <c r="S96" i="10" s="1"/>
  <c r="K96" i="10" a="1"/>
  <c r="K96" i="10" s="1"/>
  <c r="L96" i="10"/>
  <c r="T96" i="10"/>
  <c r="U97" i="10" s="1"/>
  <c r="J97" i="10"/>
  <c r="P97" i="10"/>
  <c r="N96" i="10"/>
  <c r="O97" i="10" s="1"/>
  <c r="E97" i="10"/>
  <c r="R97" i="10" s="1"/>
  <c r="N96" i="22"/>
  <c r="L97" i="22" a="1"/>
  <c r="L97" i="22" s="1"/>
  <c r="R98" i="22"/>
  <c r="K98" i="22"/>
  <c r="O97" i="22"/>
  <c r="V97" i="22"/>
  <c r="W97" i="22"/>
  <c r="P97" i="22"/>
  <c r="F98" i="22"/>
  <c r="J6" i="10" l="1"/>
  <c r="U97" i="22"/>
  <c r="M98" i="22"/>
  <c r="T98" i="22"/>
  <c r="S98" i="22" a="1"/>
  <c r="S98" i="22" s="1"/>
  <c r="M96" i="10"/>
  <c r="N97" i="22"/>
  <c r="L97" i="10"/>
  <c r="Q97" i="10" a="1"/>
  <c r="Q97" i="10" s="1"/>
  <c r="S97" i="10" s="1"/>
  <c r="K97" i="10" a="1"/>
  <c r="K97" i="10" s="1"/>
  <c r="P98" i="10"/>
  <c r="P6" i="10" s="1"/>
  <c r="T97" i="10"/>
  <c r="U98" i="10" s="1"/>
  <c r="J98" i="10"/>
  <c r="N97" i="10"/>
  <c r="O98" i="10" s="1"/>
  <c r="E98" i="10"/>
  <c r="R98" i="10" s="1"/>
  <c r="L98" i="22" a="1"/>
  <c r="L98" i="22" s="1"/>
  <c r="R99" i="22"/>
  <c r="K99" i="22"/>
  <c r="V98" i="22"/>
  <c r="O98" i="22"/>
  <c r="F99" i="22"/>
  <c r="W98" i="22"/>
  <c r="P98" i="22"/>
  <c r="U98" i="22" l="1"/>
  <c r="M97" i="10"/>
  <c r="M99" i="22"/>
  <c r="S99" i="22" a="1"/>
  <c r="S99" i="22" s="1"/>
  <c r="T99" i="22"/>
  <c r="N98" i="22"/>
  <c r="Q98" i="10" a="1"/>
  <c r="Q98" i="10" s="1"/>
  <c r="S98" i="10" s="1"/>
  <c r="K98" i="10" a="1"/>
  <c r="K98" i="10" s="1"/>
  <c r="L98" i="10"/>
  <c r="E99" i="10"/>
  <c r="R99" i="10" s="1"/>
  <c r="T98" i="10"/>
  <c r="U99" i="10" s="1"/>
  <c r="J99" i="10"/>
  <c r="P99" i="10"/>
  <c r="N98" i="10"/>
  <c r="O99" i="10" s="1"/>
  <c r="L99" i="22" a="1"/>
  <c r="L99" i="22" s="1"/>
  <c r="R100" i="22"/>
  <c r="K100" i="22"/>
  <c r="V99" i="22"/>
  <c r="P99" i="22"/>
  <c r="O99" i="22"/>
  <c r="W99" i="22"/>
  <c r="F100" i="22"/>
  <c r="U99" i="22" l="1"/>
  <c r="M100" i="22"/>
  <c r="T100" i="22"/>
  <c r="S100" i="22" a="1"/>
  <c r="S100" i="22" s="1"/>
  <c r="M98" i="10"/>
  <c r="K99" i="10" a="1"/>
  <c r="K99" i="10" s="1"/>
  <c r="Q99" i="10" a="1"/>
  <c r="Q99" i="10" s="1"/>
  <c r="S99" i="10" s="1"/>
  <c r="L99" i="10"/>
  <c r="P100" i="10"/>
  <c r="J100" i="10"/>
  <c r="N99" i="10"/>
  <c r="O100" i="10" s="1"/>
  <c r="T99" i="10"/>
  <c r="U100" i="10" s="1"/>
  <c r="E100" i="10"/>
  <c r="R100" i="10" s="1"/>
  <c r="N99" i="22"/>
  <c r="L100" i="22" a="1"/>
  <c r="L100" i="22" s="1"/>
  <c r="N100" i="22" s="1"/>
  <c r="R101" i="22"/>
  <c r="K101" i="22"/>
  <c r="P100" i="22"/>
  <c r="F101" i="22"/>
  <c r="W100" i="22"/>
  <c r="V100" i="22"/>
  <c r="O100" i="22"/>
  <c r="U100" i="22" l="1"/>
  <c r="M101" i="22"/>
  <c r="S101" i="22" a="1"/>
  <c r="S101" i="22" s="1"/>
  <c r="T101" i="22"/>
  <c r="M99" i="10"/>
  <c r="Q100" i="10" a="1"/>
  <c r="Q100" i="10" s="1"/>
  <c r="S100" i="10" s="1"/>
  <c r="K100" i="10" a="1"/>
  <c r="K100" i="10" s="1"/>
  <c r="L100" i="10"/>
  <c r="J101" i="10"/>
  <c r="P101" i="10"/>
  <c r="E101" i="10"/>
  <c r="R101" i="10" s="1"/>
  <c r="T100" i="10"/>
  <c r="U101" i="10" s="1"/>
  <c r="N100" i="10"/>
  <c r="O101" i="10" s="1"/>
  <c r="L101" i="22" a="1"/>
  <c r="L101" i="22" s="1"/>
  <c r="R102" i="22"/>
  <c r="K102" i="22"/>
  <c r="O101" i="22"/>
  <c r="P101" i="22"/>
  <c r="F102" i="22"/>
  <c r="W101" i="22"/>
  <c r="V101" i="22"/>
  <c r="U101" i="22" l="1"/>
  <c r="M102" i="22"/>
  <c r="T102" i="22"/>
  <c r="S102" i="22" a="1"/>
  <c r="S102" i="22" s="1"/>
  <c r="M100" i="10"/>
  <c r="Q101" i="10" a="1"/>
  <c r="Q101" i="10" s="1"/>
  <c r="S101" i="10" s="1"/>
  <c r="L101" i="10"/>
  <c r="K101" i="10" a="1"/>
  <c r="K101" i="10" s="1"/>
  <c r="N101" i="10"/>
  <c r="O102" i="10" s="1"/>
  <c r="T101" i="10"/>
  <c r="U102" i="10" s="1"/>
  <c r="P102" i="10"/>
  <c r="J102" i="10"/>
  <c r="E102" i="10"/>
  <c r="R102" i="10" s="1"/>
  <c r="N101" i="22"/>
  <c r="L102" i="22" a="1"/>
  <c r="L102" i="22" s="1"/>
  <c r="R103" i="22"/>
  <c r="K103" i="22"/>
  <c r="F103" i="22"/>
  <c r="P102" i="22"/>
  <c r="O102" i="22"/>
  <c r="W102" i="22"/>
  <c r="V102" i="22"/>
  <c r="U102" i="22" l="1"/>
  <c r="N102" i="22"/>
  <c r="M101" i="10"/>
  <c r="M103" i="22"/>
  <c r="S103" i="22" a="1"/>
  <c r="S103" i="22" s="1"/>
  <c r="T103" i="22"/>
  <c r="K102" i="10" a="1"/>
  <c r="K102" i="10" s="1"/>
  <c r="Q102" i="10" a="1"/>
  <c r="Q102" i="10" s="1"/>
  <c r="S102" i="10" s="1"/>
  <c r="L102" i="10"/>
  <c r="E103" i="10"/>
  <c r="R103" i="10" s="1"/>
  <c r="J103" i="10"/>
  <c r="P103" i="10"/>
  <c r="N102" i="10"/>
  <c r="O103" i="10" s="1"/>
  <c r="T102" i="10"/>
  <c r="U103" i="10" s="1"/>
  <c r="L103" i="22" a="1"/>
  <c r="L103" i="22" s="1"/>
  <c r="R104" i="22"/>
  <c r="K104" i="22"/>
  <c r="V103" i="22"/>
  <c r="O103" i="22"/>
  <c r="P103" i="22"/>
  <c r="F104" i="22"/>
  <c r="W103" i="22"/>
  <c r="U103" i="22" l="1"/>
  <c r="M104" i="22"/>
  <c r="S104" i="22" a="1"/>
  <c r="S104" i="22" s="1"/>
  <c r="T104" i="22"/>
  <c r="M102" i="10"/>
  <c r="Q103" i="10" a="1"/>
  <c r="Q103" i="10" s="1"/>
  <c r="S103" i="10" s="1"/>
  <c r="K103" i="10" a="1"/>
  <c r="K103" i="10" s="1"/>
  <c r="L103" i="10"/>
  <c r="T103" i="10"/>
  <c r="U104" i="10" s="1"/>
  <c r="E104" i="10"/>
  <c r="R104" i="10" s="1"/>
  <c r="J104" i="10"/>
  <c r="P104" i="10"/>
  <c r="N103" i="10"/>
  <c r="O104" i="10" s="1"/>
  <c r="N103" i="22"/>
  <c r="L104" i="22" a="1"/>
  <c r="L104" i="22" s="1"/>
  <c r="R105" i="22"/>
  <c r="K105" i="22"/>
  <c r="V104" i="22"/>
  <c r="P104" i="22"/>
  <c r="O104" i="22"/>
  <c r="F105" i="22"/>
  <c r="W104" i="22"/>
  <c r="U104" i="22" l="1"/>
  <c r="M105" i="22"/>
  <c r="S105" i="22" a="1"/>
  <c r="S105" i="22" s="1"/>
  <c r="T105" i="22"/>
  <c r="M103" i="10"/>
  <c r="K104" i="10" a="1"/>
  <c r="K104" i="10" s="1"/>
  <c r="L104" i="10"/>
  <c r="Q104" i="10" a="1"/>
  <c r="Q104" i="10" s="1"/>
  <c r="S104" i="10" s="1"/>
  <c r="N104" i="10"/>
  <c r="O105" i="10" s="1"/>
  <c r="J105" i="10"/>
  <c r="T104" i="10"/>
  <c r="U105" i="10" s="1"/>
  <c r="P105" i="10"/>
  <c r="E105" i="10"/>
  <c r="R105" i="10" s="1"/>
  <c r="N104" i="22"/>
  <c r="L105" i="22" a="1"/>
  <c r="L105" i="22" s="1"/>
  <c r="R106" i="22"/>
  <c r="K106" i="22"/>
  <c r="O105" i="22"/>
  <c r="P105" i="22"/>
  <c r="F106" i="22"/>
  <c r="W105" i="22"/>
  <c r="V105" i="22"/>
  <c r="U105" i="22" l="1"/>
  <c r="M106" i="22"/>
  <c r="S106" i="22" a="1"/>
  <c r="S106" i="22" s="1"/>
  <c r="T106" i="22"/>
  <c r="N105" i="22"/>
  <c r="M104" i="10"/>
  <c r="L105" i="10"/>
  <c r="K105" i="10" a="1"/>
  <c r="K105" i="10" s="1"/>
  <c r="Q105" i="10" a="1"/>
  <c r="Q105" i="10" s="1"/>
  <c r="S105" i="10" s="1"/>
  <c r="P106" i="10"/>
  <c r="T105" i="10"/>
  <c r="U106" i="10" s="1"/>
  <c r="N105" i="10"/>
  <c r="O106" i="10" s="1"/>
  <c r="J106" i="10"/>
  <c r="E106" i="10"/>
  <c r="R106" i="10" s="1"/>
  <c r="L106" i="22" a="1"/>
  <c r="L106" i="22" s="1"/>
  <c r="R107" i="22"/>
  <c r="K107" i="22"/>
  <c r="O106" i="22"/>
  <c r="P106" i="22"/>
  <c r="V106" i="22"/>
  <c r="F107" i="22"/>
  <c r="W106" i="22"/>
  <c r="U106" i="22" l="1"/>
  <c r="N106" i="22"/>
  <c r="M105" i="10"/>
  <c r="M107" i="22"/>
  <c r="T107" i="22"/>
  <c r="S107" i="22" a="1"/>
  <c r="S107" i="22" s="1"/>
  <c r="L106" i="10"/>
  <c r="Q106" i="10" a="1"/>
  <c r="Q106" i="10" s="1"/>
  <c r="S106" i="10" s="1"/>
  <c r="K106" i="10" a="1"/>
  <c r="K106" i="10" s="1"/>
  <c r="T106" i="10"/>
  <c r="U107" i="10" s="1"/>
  <c r="J107" i="10"/>
  <c r="P107" i="10"/>
  <c r="E107" i="10"/>
  <c r="R107" i="10" s="1"/>
  <c r="N106" i="10"/>
  <c r="O107" i="10" s="1"/>
  <c r="L107" i="22" a="1"/>
  <c r="L107" i="22" s="1"/>
  <c r="R108" i="22"/>
  <c r="K108" i="22"/>
  <c r="V107" i="22"/>
  <c r="P107" i="22"/>
  <c r="O107" i="22"/>
  <c r="F108" i="22"/>
  <c r="W107" i="22"/>
  <c r="U107" i="22" l="1"/>
  <c r="N107" i="22"/>
  <c r="M108" i="22"/>
  <c r="T108" i="22"/>
  <c r="S108" i="22" a="1"/>
  <c r="S108" i="22" s="1"/>
  <c r="M106" i="10"/>
  <c r="L107" i="10"/>
  <c r="K107" i="10" a="1"/>
  <c r="K107" i="10" s="1"/>
  <c r="Q107" i="10" a="1"/>
  <c r="Q107" i="10" s="1"/>
  <c r="S107" i="10" s="1"/>
  <c r="T107" i="10"/>
  <c r="U108" i="10" s="1"/>
  <c r="J108" i="10"/>
  <c r="E108" i="10"/>
  <c r="R108" i="10" s="1"/>
  <c r="N107" i="10"/>
  <c r="O108" i="10" s="1"/>
  <c r="P108" i="10"/>
  <c r="L108" i="22" a="1"/>
  <c r="L108" i="22" s="1"/>
  <c r="R109" i="22"/>
  <c r="K109" i="22"/>
  <c r="F109" i="22"/>
  <c r="W108" i="22"/>
  <c r="O108" i="22"/>
  <c r="P108" i="22"/>
  <c r="V108" i="22"/>
  <c r="U108" i="22" l="1"/>
  <c r="M109" i="22"/>
  <c r="T109" i="22"/>
  <c r="S109" i="22" a="1"/>
  <c r="S109" i="22" s="1"/>
  <c r="M107" i="10"/>
  <c r="Q108" i="10" a="1"/>
  <c r="Q108" i="10" s="1"/>
  <c r="S108" i="10" s="1"/>
  <c r="L108" i="10"/>
  <c r="K108" i="10" a="1"/>
  <c r="K108" i="10" s="1"/>
  <c r="N108" i="10"/>
  <c r="O109" i="10" s="1"/>
  <c r="T108" i="10"/>
  <c r="U109" i="10" s="1"/>
  <c r="J109" i="10"/>
  <c r="P109" i="10"/>
  <c r="E109" i="10"/>
  <c r="R109" i="10" s="1"/>
  <c r="N108" i="22"/>
  <c r="L109" i="22" a="1"/>
  <c r="L109" i="22" s="1"/>
  <c r="R110" i="22"/>
  <c r="K110" i="22"/>
  <c r="O109" i="22"/>
  <c r="V109" i="22"/>
  <c r="P109" i="22"/>
  <c r="F110" i="22"/>
  <c r="W109" i="22"/>
  <c r="U109" i="22" l="1"/>
  <c r="M108" i="10"/>
  <c r="M110" i="22"/>
  <c r="S110" i="22" a="1"/>
  <c r="S110" i="22" s="1"/>
  <c r="T110" i="22"/>
  <c r="N109" i="22"/>
  <c r="K109" i="10" a="1"/>
  <c r="K109" i="10" s="1"/>
  <c r="L109" i="10"/>
  <c r="Q109" i="10" a="1"/>
  <c r="Q109" i="10" s="1"/>
  <c r="S109" i="10" s="1"/>
  <c r="T109" i="10"/>
  <c r="U110" i="10" s="1"/>
  <c r="E110" i="10"/>
  <c r="R110" i="10" s="1"/>
  <c r="J110" i="10"/>
  <c r="N109" i="10"/>
  <c r="O110" i="10" s="1"/>
  <c r="P110" i="10"/>
  <c r="L110" i="22" a="1"/>
  <c r="L110" i="22" s="1"/>
  <c r="R111" i="22"/>
  <c r="K111" i="22"/>
  <c r="P110" i="22"/>
  <c r="O110" i="22"/>
  <c r="F111" i="22"/>
  <c r="W110" i="22"/>
  <c r="V110" i="22"/>
  <c r="U110" i="22" l="1"/>
  <c r="M111" i="22"/>
  <c r="S111" i="22" a="1"/>
  <c r="S111" i="22" s="1"/>
  <c r="T111" i="22"/>
  <c r="M109" i="10"/>
  <c r="Q110" i="10" a="1"/>
  <c r="Q110" i="10" s="1"/>
  <c r="S110" i="10" s="1"/>
  <c r="K110" i="10" a="1"/>
  <c r="K110" i="10" s="1"/>
  <c r="L110" i="10"/>
  <c r="T110" i="10"/>
  <c r="U111" i="10" s="1"/>
  <c r="J111" i="10"/>
  <c r="P111" i="10"/>
  <c r="N110" i="10"/>
  <c r="O111" i="10" s="1"/>
  <c r="E111" i="10"/>
  <c r="R111" i="10" s="1"/>
  <c r="N110" i="22"/>
  <c r="L111" i="22" a="1"/>
  <c r="L111" i="22" s="1"/>
  <c r="R112" i="22"/>
  <c r="K112" i="22"/>
  <c r="V111" i="22"/>
  <c r="P111" i="22"/>
  <c r="O111" i="22"/>
  <c r="F112" i="22"/>
  <c r="W111" i="22"/>
  <c r="U111" i="22" l="1"/>
  <c r="M112" i="22"/>
  <c r="T112" i="22"/>
  <c r="S112" i="22" a="1"/>
  <c r="S112" i="22" s="1"/>
  <c r="M110" i="10"/>
  <c r="K111" i="10" a="1"/>
  <c r="K111" i="10" s="1"/>
  <c r="Q111" i="10" a="1"/>
  <c r="Q111" i="10" s="1"/>
  <c r="S111" i="10" s="1"/>
  <c r="L111" i="10"/>
  <c r="J112" i="10"/>
  <c r="E112" i="10"/>
  <c r="R112" i="10" s="1"/>
  <c r="N111" i="10"/>
  <c r="O112" i="10" s="1"/>
  <c r="T111" i="10"/>
  <c r="U112" i="10" s="1"/>
  <c r="P112" i="10"/>
  <c r="N111" i="22"/>
  <c r="L112" i="22" a="1"/>
  <c r="L112" i="22" s="1"/>
  <c r="R113" i="22"/>
  <c r="K113" i="22"/>
  <c r="P112" i="22"/>
  <c r="O112" i="22"/>
  <c r="W112" i="22"/>
  <c r="V112" i="22"/>
  <c r="F113" i="22"/>
  <c r="U112" i="22" l="1"/>
  <c r="N112" i="22"/>
  <c r="M113" i="22"/>
  <c r="S113" i="22" a="1"/>
  <c r="S113" i="22" s="1"/>
  <c r="T113" i="22"/>
  <c r="M111" i="10"/>
  <c r="K112" i="10" a="1"/>
  <c r="K112" i="10" s="1"/>
  <c r="Q112" i="10" a="1"/>
  <c r="Q112" i="10" s="1"/>
  <c r="S112" i="10" s="1"/>
  <c r="L112" i="10"/>
  <c r="T112" i="10"/>
  <c r="U113" i="10" s="1"/>
  <c r="J113" i="10"/>
  <c r="P113" i="10"/>
  <c r="E113" i="10"/>
  <c r="R113" i="10" s="1"/>
  <c r="N112" i="10"/>
  <c r="O113" i="10" s="1"/>
  <c r="L113" i="22" a="1"/>
  <c r="L113" i="22" s="1"/>
  <c r="R114" i="22"/>
  <c r="K114" i="22"/>
  <c r="O113" i="22"/>
  <c r="P113" i="22"/>
  <c r="F114" i="22"/>
  <c r="W113" i="22"/>
  <c r="V113" i="22"/>
  <c r="U113" i="22" l="1"/>
  <c r="N113" i="22"/>
  <c r="M114" i="22"/>
  <c r="S114" i="22" a="1"/>
  <c r="S114" i="22" s="1"/>
  <c r="T114" i="22"/>
  <c r="M112" i="10"/>
  <c r="K113" i="10" a="1"/>
  <c r="K113" i="10" s="1"/>
  <c r="Q113" i="10" a="1"/>
  <c r="Q113" i="10" s="1"/>
  <c r="S113" i="10" s="1"/>
  <c r="L113" i="10"/>
  <c r="P114" i="10"/>
  <c r="T113" i="10"/>
  <c r="U114" i="10" s="1"/>
  <c r="J114" i="10"/>
  <c r="N113" i="10"/>
  <c r="O114" i="10" s="1"/>
  <c r="E114" i="10"/>
  <c r="R114" i="10" s="1"/>
  <c r="L114" i="22" a="1"/>
  <c r="L114" i="22" s="1"/>
  <c r="R115" i="22"/>
  <c r="K115" i="22"/>
  <c r="F115" i="22"/>
  <c r="W114" i="22"/>
  <c r="P114" i="22"/>
  <c r="O114" i="22"/>
  <c r="V114" i="22"/>
  <c r="U114" i="22" l="1"/>
  <c r="N114" i="22"/>
  <c r="M115" i="22"/>
  <c r="S115" i="22" a="1"/>
  <c r="S115" i="22" s="1"/>
  <c r="T115" i="22"/>
  <c r="M113" i="10"/>
  <c r="Q114" i="10" a="1"/>
  <c r="Q114" i="10" s="1"/>
  <c r="S114" i="10" s="1"/>
  <c r="L114" i="10"/>
  <c r="K114" i="10" a="1"/>
  <c r="K114" i="10" s="1"/>
  <c r="T114" i="10"/>
  <c r="U115" i="10" s="1"/>
  <c r="J115" i="10"/>
  <c r="P115" i="10"/>
  <c r="N114" i="10"/>
  <c r="O115" i="10" s="1"/>
  <c r="E115" i="10"/>
  <c r="R115" i="10" s="1"/>
  <c r="L115" i="22" a="1"/>
  <c r="L115" i="22" s="1"/>
  <c r="R116" i="22"/>
  <c r="K116" i="22"/>
  <c r="V115" i="22"/>
  <c r="P115" i="22"/>
  <c r="O115" i="22"/>
  <c r="F116" i="22"/>
  <c r="W115" i="22"/>
  <c r="U115" i="22" l="1"/>
  <c r="M114" i="10"/>
  <c r="M116" i="22"/>
  <c r="S116" i="22" a="1"/>
  <c r="S116" i="22" s="1"/>
  <c r="T116" i="22"/>
  <c r="Q115" i="10" a="1"/>
  <c r="Q115" i="10" s="1"/>
  <c r="S115" i="10" s="1"/>
  <c r="K115" i="10" a="1"/>
  <c r="K115" i="10" s="1"/>
  <c r="L115" i="10"/>
  <c r="P116" i="10"/>
  <c r="T115" i="10"/>
  <c r="U116" i="10" s="1"/>
  <c r="J116" i="10"/>
  <c r="E116" i="10"/>
  <c r="R116" i="10" s="1"/>
  <c r="N115" i="10"/>
  <c r="O116" i="10" s="1"/>
  <c r="N115" i="22"/>
  <c r="L116" i="22" a="1"/>
  <c r="L116" i="22" s="1"/>
  <c r="R117" i="22"/>
  <c r="K117" i="22"/>
  <c r="P116" i="22"/>
  <c r="O116" i="22"/>
  <c r="F117" i="22"/>
  <c r="W116" i="22"/>
  <c r="V116" i="22"/>
  <c r="U116" i="22" l="1"/>
  <c r="N116" i="22"/>
  <c r="M117" i="22"/>
  <c r="S117" i="22" a="1"/>
  <c r="S117" i="22" s="1"/>
  <c r="T117" i="22"/>
  <c r="M115" i="10"/>
  <c r="K116" i="10" a="1"/>
  <c r="K116" i="10" s="1"/>
  <c r="Q116" i="10" a="1"/>
  <c r="Q116" i="10" s="1"/>
  <c r="S116" i="10" s="1"/>
  <c r="L116" i="10"/>
  <c r="T116" i="10"/>
  <c r="U117" i="10" s="1"/>
  <c r="J117" i="10"/>
  <c r="P117" i="10"/>
  <c r="N116" i="10"/>
  <c r="O117" i="10" s="1"/>
  <c r="E117" i="10"/>
  <c r="R117" i="10" s="1"/>
  <c r="L117" i="22" a="1"/>
  <c r="L117" i="22" s="1"/>
  <c r="R118" i="22"/>
  <c r="K118" i="22"/>
  <c r="O117" i="22"/>
  <c r="P117" i="22"/>
  <c r="F118" i="22"/>
  <c r="W117" i="22"/>
  <c r="V117" i="22"/>
  <c r="U117" i="22" l="1"/>
  <c r="M118" i="22"/>
  <c r="S118" i="22" a="1"/>
  <c r="S118" i="22" s="1"/>
  <c r="T118" i="22"/>
  <c r="M116" i="10"/>
  <c r="L117" i="10"/>
  <c r="K117" i="10" a="1"/>
  <c r="K117" i="10" s="1"/>
  <c r="Q117" i="10" a="1"/>
  <c r="Q117" i="10" s="1"/>
  <c r="S117" i="10" s="1"/>
  <c r="P118" i="10"/>
  <c r="J118" i="10"/>
  <c r="N117" i="10"/>
  <c r="O118" i="10" s="1"/>
  <c r="T117" i="10"/>
  <c r="U118" i="10" s="1"/>
  <c r="E118" i="10"/>
  <c r="R118" i="10" s="1"/>
  <c r="N117" i="22"/>
  <c r="L118" i="22" a="1"/>
  <c r="L118" i="22" s="1"/>
  <c r="R119" i="22"/>
  <c r="K119" i="22"/>
  <c r="O118" i="22"/>
  <c r="F119" i="22"/>
  <c r="W118" i="22"/>
  <c r="V118" i="22"/>
  <c r="P118" i="22"/>
  <c r="U118" i="22" l="1"/>
  <c r="N118" i="22"/>
  <c r="M119" i="22"/>
  <c r="T119" i="22"/>
  <c r="S119" i="22" a="1"/>
  <c r="S119" i="22" s="1"/>
  <c r="M117" i="10"/>
  <c r="L118" i="10"/>
  <c r="K118" i="10" a="1"/>
  <c r="K118" i="10" s="1"/>
  <c r="Q118" i="10" a="1"/>
  <c r="Q118" i="10" s="1"/>
  <c r="S118" i="10" s="1"/>
  <c r="J119" i="10"/>
  <c r="P119" i="10"/>
  <c r="E119" i="10"/>
  <c r="R119" i="10" s="1"/>
  <c r="T118" i="10"/>
  <c r="U119" i="10" s="1"/>
  <c r="N118" i="10"/>
  <c r="O119" i="10" s="1"/>
  <c r="L119" i="22" a="1"/>
  <c r="L119" i="22" s="1"/>
  <c r="R120" i="22"/>
  <c r="K120" i="22"/>
  <c r="V119" i="22"/>
  <c r="P119" i="22"/>
  <c r="O119" i="22"/>
  <c r="F120" i="22"/>
  <c r="W119" i="22"/>
  <c r="U119" i="22" l="1"/>
  <c r="M120" i="22"/>
  <c r="T120" i="22"/>
  <c r="S120" i="22" a="1"/>
  <c r="S120" i="22" s="1"/>
  <c r="M118" i="10"/>
  <c r="L119" i="10"/>
  <c r="K119" i="10" a="1"/>
  <c r="K119" i="10" s="1"/>
  <c r="Q119" i="10" a="1"/>
  <c r="Q119" i="10" s="1"/>
  <c r="S119" i="10" s="1"/>
  <c r="P120" i="10"/>
  <c r="T119" i="10"/>
  <c r="U120" i="10" s="1"/>
  <c r="J120" i="10"/>
  <c r="N119" i="10"/>
  <c r="O120" i="10" s="1"/>
  <c r="E120" i="10"/>
  <c r="R120" i="10" s="1"/>
  <c r="N119" i="22"/>
  <c r="L120" i="22" a="1"/>
  <c r="L120" i="22" s="1"/>
  <c r="R121" i="22"/>
  <c r="K121" i="22"/>
  <c r="F121" i="22"/>
  <c r="W120" i="22"/>
  <c r="P120" i="22"/>
  <c r="O120" i="22"/>
  <c r="V120" i="22"/>
  <c r="U120" i="22" l="1"/>
  <c r="M121" i="22"/>
  <c r="S121" i="22" a="1"/>
  <c r="S121" i="22" s="1"/>
  <c r="T121" i="22"/>
  <c r="M119" i="10"/>
  <c r="L120" i="10"/>
  <c r="K120" i="10" a="1"/>
  <c r="K120" i="10" s="1"/>
  <c r="Q120" i="10" a="1"/>
  <c r="Q120" i="10" s="1"/>
  <c r="S120" i="10" s="1"/>
  <c r="J121" i="10"/>
  <c r="P121" i="10"/>
  <c r="E121" i="10"/>
  <c r="R121" i="10" s="1"/>
  <c r="N120" i="10"/>
  <c r="O121" i="10" s="1"/>
  <c r="T120" i="10"/>
  <c r="U121" i="10" s="1"/>
  <c r="N120" i="22"/>
  <c r="L121" i="22" a="1"/>
  <c r="L121" i="22" s="1"/>
  <c r="R122" i="22"/>
  <c r="K122" i="22"/>
  <c r="O121" i="22"/>
  <c r="V121" i="22"/>
  <c r="P121" i="22"/>
  <c r="F122" i="22"/>
  <c r="W121" i="22"/>
  <c r="U121" i="22" l="1"/>
  <c r="M122" i="22"/>
  <c r="S122" i="22" a="1"/>
  <c r="S122" i="22" s="1"/>
  <c r="T122" i="22"/>
  <c r="M120" i="10"/>
  <c r="N121" i="22"/>
  <c r="Q121" i="10" a="1"/>
  <c r="Q121" i="10" s="1"/>
  <c r="S121" i="10" s="1"/>
  <c r="L121" i="10"/>
  <c r="K121" i="10" a="1"/>
  <c r="K121" i="10" s="1"/>
  <c r="J122" i="10"/>
  <c r="N121" i="10"/>
  <c r="O122" i="10" s="1"/>
  <c r="T121" i="10"/>
  <c r="U122" i="10" s="1"/>
  <c r="E122" i="10"/>
  <c r="R122" i="10" s="1"/>
  <c r="P122" i="10"/>
  <c r="L122" i="22" a="1"/>
  <c r="L122" i="22" s="1"/>
  <c r="R123" i="22"/>
  <c r="K123" i="22"/>
  <c r="P122" i="22"/>
  <c r="F123" i="22"/>
  <c r="W122" i="22"/>
  <c r="V122" i="22"/>
  <c r="O122" i="22"/>
  <c r="U122" i="22" l="1"/>
  <c r="M121" i="10"/>
  <c r="M123" i="22"/>
  <c r="T123" i="22"/>
  <c r="S123" i="22" a="1"/>
  <c r="S123" i="22" s="1"/>
  <c r="U123" i="22" s="1"/>
  <c r="Q122" i="10" a="1"/>
  <c r="Q122" i="10" s="1"/>
  <c r="S122" i="10" s="1"/>
  <c r="K122" i="10" a="1"/>
  <c r="K122" i="10" s="1"/>
  <c r="L122" i="10"/>
  <c r="T122" i="10"/>
  <c r="U123" i="10" s="1"/>
  <c r="E123" i="10"/>
  <c r="R123" i="10" s="1"/>
  <c r="N122" i="10"/>
  <c r="O123" i="10" s="1"/>
  <c r="J123" i="10"/>
  <c r="P123" i="10"/>
  <c r="N122" i="22"/>
  <c r="L123" i="22" a="1"/>
  <c r="L123" i="22" s="1"/>
  <c r="R124" i="22"/>
  <c r="K124" i="22"/>
  <c r="V123" i="22"/>
  <c r="P123" i="22"/>
  <c r="O123" i="22"/>
  <c r="W123" i="22"/>
  <c r="F124" i="22"/>
  <c r="P124" i="10" l="1"/>
  <c r="N123" i="22"/>
  <c r="M124" i="22"/>
  <c r="T124" i="22"/>
  <c r="S124" i="22" a="1"/>
  <c r="S124" i="22" s="1"/>
  <c r="M122" i="10"/>
  <c r="K123" i="10" a="1"/>
  <c r="K123" i="10" s="1"/>
  <c r="Q123" i="10" a="1"/>
  <c r="Q123" i="10" s="1"/>
  <c r="S123" i="10" s="1"/>
  <c r="L123" i="10"/>
  <c r="J124" i="10"/>
  <c r="E124" i="10"/>
  <c r="R124" i="10" s="1"/>
  <c r="N123" i="10"/>
  <c r="O124" i="10" s="1"/>
  <c r="T123" i="10"/>
  <c r="U124" i="10" s="1"/>
  <c r="L124" i="22" a="1"/>
  <c r="L124" i="22" s="1"/>
  <c r="R125" i="22"/>
  <c r="K125" i="22"/>
  <c r="F125" i="22"/>
  <c r="W124" i="22"/>
  <c r="V124" i="22"/>
  <c r="P124" i="22"/>
  <c r="O124" i="22"/>
  <c r="U124" i="22" l="1"/>
  <c r="M125" i="22"/>
  <c r="T125" i="22"/>
  <c r="S125" i="22" a="1"/>
  <c r="S125" i="22" s="1"/>
  <c r="M123" i="10"/>
  <c r="K124" i="10" a="1"/>
  <c r="K124" i="10" s="1"/>
  <c r="Q124" i="10" a="1"/>
  <c r="Q124" i="10" s="1"/>
  <c r="S124" i="10" s="1"/>
  <c r="L124" i="10"/>
  <c r="T124" i="10"/>
  <c r="U125" i="10" s="1"/>
  <c r="J125" i="10"/>
  <c r="P125" i="10"/>
  <c r="E125" i="10"/>
  <c r="R125" i="10" s="1"/>
  <c r="N124" i="10"/>
  <c r="O125" i="10" s="1"/>
  <c r="N124" i="22"/>
  <c r="L125" i="22" a="1"/>
  <c r="L125" i="22" s="1"/>
  <c r="R126" i="22"/>
  <c r="K126" i="22"/>
  <c r="O125" i="22"/>
  <c r="P125" i="22"/>
  <c r="F126" i="22"/>
  <c r="W125" i="22"/>
  <c r="V125" i="22"/>
  <c r="U125" i="22" l="1"/>
  <c r="N125" i="22"/>
  <c r="M126" i="22"/>
  <c r="T126" i="22"/>
  <c r="S126" i="22" a="1"/>
  <c r="S126" i="22" s="1"/>
  <c r="U126" i="22" s="1"/>
  <c r="M124" i="10"/>
  <c r="K125" i="10" a="1"/>
  <c r="K125" i="10" s="1"/>
  <c r="Q125" i="10" a="1"/>
  <c r="Q125" i="10" s="1"/>
  <c r="S125" i="10" s="1"/>
  <c r="L125" i="10"/>
  <c r="T125" i="10"/>
  <c r="U126" i="10" s="1"/>
  <c r="J126" i="10"/>
  <c r="E126" i="10"/>
  <c r="R126" i="10" s="1"/>
  <c r="N125" i="10"/>
  <c r="O126" i="10" s="1"/>
  <c r="P126" i="10"/>
  <c r="L126" i="22" a="1"/>
  <c r="L126" i="22" s="1"/>
  <c r="R127" i="22"/>
  <c r="K127" i="22"/>
  <c r="F127" i="22"/>
  <c r="W126" i="22"/>
  <c r="V126" i="22"/>
  <c r="P126" i="22"/>
  <c r="O126" i="22"/>
  <c r="M127" i="22" l="1"/>
  <c r="S127" i="22" a="1"/>
  <c r="S127" i="22" s="1"/>
  <c r="T127" i="22"/>
  <c r="M125" i="10"/>
  <c r="K126" i="10" a="1"/>
  <c r="K126" i="10" s="1"/>
  <c r="Q126" i="10" a="1"/>
  <c r="Q126" i="10" s="1"/>
  <c r="S126" i="10" s="1"/>
  <c r="L126" i="10"/>
  <c r="N126" i="10"/>
  <c r="O127" i="10" s="1"/>
  <c r="J127" i="10"/>
  <c r="P127" i="10"/>
  <c r="E127" i="10"/>
  <c r="R127" i="10" s="1"/>
  <c r="T126" i="10"/>
  <c r="U127" i="10" s="1"/>
  <c r="N126" i="22"/>
  <c r="L127" i="22" a="1"/>
  <c r="L127" i="22" s="1"/>
  <c r="V127" i="22"/>
  <c r="P127" i="22"/>
  <c r="W127" i="22"/>
  <c r="O127" i="22"/>
  <c r="U127" i="22" l="1"/>
  <c r="N127" i="22"/>
  <c r="B9" i="22" s="1"/>
  <c r="D11" i="22"/>
  <c r="B11" i="22"/>
  <c r="M126" i="10"/>
  <c r="Q127" i="10" a="1"/>
  <c r="Q127" i="10" s="1"/>
  <c r="S127" i="10" s="1"/>
  <c r="K127" i="10" a="1"/>
  <c r="K127" i="10" s="1"/>
  <c r="L127" i="10"/>
  <c r="N127" i="10"/>
  <c r="T127" i="10"/>
  <c r="D9" i="22" l="1"/>
  <c r="B6" i="10"/>
  <c r="M127" i="10"/>
  <c r="B10" i="22"/>
  <c r="B5" i="10" l="1"/>
  <c r="B9" i="10" s="1"/>
  <c r="D19" i="12" s="1"/>
  <c r="E11" i="8" s="1"/>
  <c r="D10" i="22"/>
  <c r="C10" i="22" s="1"/>
  <c r="C13" i="22" l="1"/>
  <c r="E17" i="1" s="1"/>
  <c r="B10" i="12"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<sst xmlns="http://schemas.openxmlformats.org/spreadsheetml/2006/main" count="302" uniqueCount="188">
  <si>
    <t>Instructions for using the “Category 2 PV Calculator”</t>
  </si>
  <si>
    <t>To be used with Benefit Determination Dates from 1/1/2026 through 12/31/2026.</t>
  </si>
  <si>
    <t>Overview</t>
  </si>
  <si>
    <t xml:space="preserve">This workbook is designed to assist plan administrators with calculating how much money to transfer to PBGC on behalf of a Missing Participant in a terminating Defined Benefit Plan with a non de minimis benefit.  In general, for a plan with a determination date after 2023, that means a benefit with a present value, determined using the plan’s lump sum assumptions and methods, of more than $7,000.  </t>
  </si>
  <si>
    <t>This Category 2 PV Calculator workbook calculates the present value using PBGC’s “missing participant assumptions”.  Before using this workbook, be sure to review the “Determining Benefit Transfer Amounts” section of whichever set of instructions is applicable to your plan to be sure these assumptions apply.</t>
  </si>
  <si>
    <t>This workbook works for most, but not all missing participants.  It can not be used to perform the Category 2 PV calculation if:</t>
  </si>
  <si>
    <t xml:space="preserve"> ●    </t>
  </si>
  <si>
    <t>The missing participant has already received benefits from the plan (i.e., a “pay-status” participant);</t>
  </si>
  <si>
    <t>The missing participant is deceased and the person entitled to benefits is the beneficiary; or</t>
  </si>
  <si>
    <t xml:space="preserve">The missing distributee is an alternate payee entitled to a benefit under a Qualified Domestic Relations Order. </t>
  </si>
  <si>
    <t>How To Use This Workbook</t>
  </si>
  <si>
    <t xml:space="preserve">This workbook is set up to do the Category 2 present value calculation for one missing participant at a time.  It is pre-populated with data for a hypothetical participant. </t>
  </si>
  <si>
    <r>
      <t xml:space="preserve">To use the workbook, replace the information shown in </t>
    </r>
    <r>
      <rPr>
        <b/>
        <i/>
        <sz val="11"/>
        <color rgb="FF0000FF"/>
        <rFont val="Calibri"/>
        <family val="2"/>
        <scheme val="minor"/>
      </rPr>
      <t>bold blue italics</t>
    </r>
    <r>
      <rPr>
        <sz val="10"/>
        <rFont val="Arial"/>
        <family val="2"/>
      </rPr>
      <t xml:space="preserve"> with the actual information related to the participant for whom you’re doing the calculation.  Data shown in black are formulas and will automatically change when you replace the hypothetical data with actual data.</t>
    </r>
  </si>
  <si>
    <t xml:space="preserve">Because different rules apply depending on whether the participant has (or has not) reached normal retirement age (“NRA”), the workbook has two tabs, one for each type of calculation:   </t>
  </si>
  <si>
    <t xml:space="preserve">Click on the tab labeled “Before NRA” if the benefit determination date (BDD) is before the participant’s normal retirement date. </t>
  </si>
  <si>
    <t xml:space="preserve">Click on the tab labeled “On or After NRA” if benefit determination date (BDD) is on or after the participant’s normal retirement date. </t>
  </si>
  <si>
    <t>Regardless of whether the missing participant’s NRA is before or after the benefit determination date, you will first need to enter some basic information (e.g., name, birth date, benefit determination date).  The rest of the data that needs to be entered depends on whether you’re doing a “Before NRA” calculation or an “On or After NRA” calculation.</t>
  </si>
  <si>
    <t>Additional data for “Before NRA” calculations</t>
  </si>
  <si>
    <t xml:space="preserve">For these participants, the PBGC missing participant assumptions provide that the present value is determined assuming the participant commences payment at a specified future retirement age, called the “expected retirement age” or XRA.  You will need to enter two pieces of information about when the participant could have started receiving benefits under the terms of the plan for the workbook to calculate the XRA. </t>
  </si>
  <si>
    <r>
      <t xml:space="preserve">Item 3.a. — Enter the youngest age the participant could have started receiving </t>
    </r>
    <r>
      <rPr>
        <u/>
        <sz val="10"/>
        <rFont val="Arial"/>
        <family val="2"/>
      </rPr>
      <t>unreduced</t>
    </r>
    <r>
      <rPr>
        <sz val="10"/>
        <rFont val="Arial"/>
        <family val="2"/>
      </rPr>
      <t xml:space="preserve"> benefits under the terms of the plan rounded to the nearest integral age (i.e., nearest whole number). </t>
    </r>
  </si>
  <si>
    <t xml:space="preserve">In general, this is the participant's normal retirement age (e.g., typically age 65).  However, if the missing participant was (or will be) eligible to receive unreduced benefits at an earlier age (e.g., after completing 30 years of service, or after attaining age 60 and completing 10 years of service), enter the missing participant's age on that date.  </t>
  </si>
  <si>
    <r>
      <t xml:space="preserve">Item 3.b. — Enter the youngest age the participant could have started receiving </t>
    </r>
    <r>
      <rPr>
        <u/>
        <sz val="10"/>
        <rFont val="Arial"/>
        <family val="2"/>
      </rPr>
      <t>reduced</t>
    </r>
    <r>
      <rPr>
        <sz val="10"/>
        <rFont val="Arial"/>
        <family val="2"/>
      </rPr>
      <t xml:space="preserve"> benefits under the terms of the plan, rounded to the nearest integral age.  </t>
    </r>
  </si>
  <si>
    <r>
      <t xml:space="preserve">For example, consider a plan under which participants with 10 years of service can start receiving benefits as early as age 55 and participants with fewer than 10 years of service must wait until age 62 to start receiving benefits.  </t>
    </r>
    <r>
      <rPr>
        <sz val="10"/>
        <color rgb="FF00B050"/>
        <rFont val="Arial"/>
        <family val="2"/>
      </rPr>
      <t/>
    </r>
  </si>
  <si>
    <t xml:space="preserve"> -  If the missing participant had 12 years of service when he/she terminated employment, enter age 55.  </t>
  </si>
  <si>
    <t xml:space="preserve"> -  If the missing participant had 8 years of service when he/she terminated employment, enter age 62.  </t>
  </si>
  <si>
    <t xml:space="preserve">If the plan does not provide for reduced early retirement benefits, or if the participant was not eligible for a reduced early retirement benefit, enter the youngest age for unreduced benefits (i.e., the age entered in line 3.a.).  </t>
  </si>
  <si>
    <t>Once ages are entered in items 3.a. and 3.b., the spreadsheet will calculate and display the participant’s "PBGC early retirement date" (solely for illustrative purposes) and XRA.</t>
  </si>
  <si>
    <t xml:space="preserve">Next, you will need to determine the monthly benefit, payable as a single life annuity, that the participant would receive if he elected that payment form and chose to have payments commence on his/her XRA.  This amount must reflect any applicable reduction for early retirement.  Once that amount is entered, the present value will be displayed. </t>
  </si>
  <si>
    <t>Additional data for “On or After NRA” calculations</t>
  </si>
  <si>
    <t>For participants past normal retirement age (NRA), the PBGC missing participant assumptions require valuing the straight life annuity payment form that would have been payable had benefits commenced at NRA. Two additional data items are needed to do this calculation:</t>
  </si>
  <si>
    <r>
      <t>Item 2d. -</t>
    </r>
    <r>
      <rPr>
        <sz val="10"/>
        <color rgb="FFFF0000"/>
        <rFont val="Arial"/>
        <family val="2"/>
      </rPr>
      <t xml:space="preserve"> </t>
    </r>
    <r>
      <rPr>
        <sz val="10"/>
        <rFont val="Arial"/>
        <family val="2"/>
      </rPr>
      <t>The participant’s normal retirement date, under the terms of the plan, and</t>
    </r>
  </si>
  <si>
    <r>
      <t>Item 3. -</t>
    </r>
    <r>
      <rPr>
        <sz val="10"/>
        <color rgb="FFFF0000"/>
        <rFont val="Arial"/>
        <family val="2"/>
      </rPr>
      <t xml:space="preserve"> </t>
    </r>
    <r>
      <rPr>
        <sz val="10"/>
        <rFont val="Arial"/>
        <family val="2"/>
      </rPr>
      <t xml:space="preserve">The monthly benefit, payable as a single life annuity, that the participant would have received had he elected that payment form and chose to commence payments on his normal retirement date. </t>
    </r>
  </si>
  <si>
    <t>Once you enter those two data items, the spreadsheet will calculate and display the present value of the NRA benefit.</t>
  </si>
  <si>
    <t>Work Areas</t>
  </si>
  <si>
    <t>Five unprotected "Work Area" tabs have been added to allow the user to perform any independent calculations while using this workbook.</t>
  </si>
  <si>
    <t>Reminder - For participants past NRA, the benefit transfer amount has two components:</t>
  </si>
  <si>
    <t>1.</t>
  </si>
  <si>
    <t>The present value of the NRA benefit as of the benefit determination date, plus</t>
  </si>
  <si>
    <t>2.</t>
  </si>
  <si>
    <t>The accumulated value of payments that would have been made from NRA to the benefit determination date had the participant commenced payments in straight life annuity payment form beginning at NRA.</t>
  </si>
  <si>
    <t xml:space="preserve">The Missing Participant's PV Calculator workbook can be used only for item (1) above.  Information about how to do the accumulation portion of the calculation is available in the "Additional tools" section of  the Missing Participants webpage.  </t>
  </si>
  <si>
    <t>Present Value of Accrued Benefit using PBGC Missing Participant Assumptions</t>
  </si>
  <si>
    <t>Participants who are not past Normal Retirement Age</t>
  </si>
  <si>
    <r>
      <t xml:space="preserve">Please read the instructions before entering information into this spreadsheet. Enter actual information for all items shown in </t>
    </r>
    <r>
      <rPr>
        <b/>
        <i/>
        <sz val="12"/>
        <color rgb="FF0000FF"/>
        <rFont val="Arial"/>
        <family val="2"/>
      </rPr>
      <t>bold blue italics</t>
    </r>
    <r>
      <rPr>
        <sz val="12"/>
        <rFont val="Arial"/>
        <family val="2"/>
      </rPr>
      <t>. All other items shown are calculated items that cannot be altered.</t>
    </r>
  </si>
  <si>
    <t xml:space="preserve">1. </t>
  </si>
  <si>
    <t>Benefit determination date (BDD)</t>
  </si>
  <si>
    <t>Missing participant information</t>
  </si>
  <si>
    <t>a.</t>
  </si>
  <si>
    <t>Name</t>
  </si>
  <si>
    <t>John Smith</t>
  </si>
  <si>
    <t>b.</t>
  </si>
  <si>
    <t>Birth date</t>
  </si>
  <si>
    <t xml:space="preserve">c. </t>
  </si>
  <si>
    <t>Age at benefit determination date</t>
  </si>
  <si>
    <t>d.</t>
  </si>
  <si>
    <t>Normal retirement date</t>
  </si>
  <si>
    <t>3.</t>
  </si>
  <si>
    <t>Had the plan not terminated, youngest age the participant could have started receiving:</t>
  </si>
  <si>
    <t>Unreduced benefits</t>
  </si>
  <si>
    <t>Reduced benefits</t>
  </si>
  <si>
    <t>4.</t>
  </si>
  <si>
    <t>Additional information needed to complete calculation</t>
  </si>
  <si>
    <t xml:space="preserve"> </t>
  </si>
  <si>
    <t>Earliest PBGC retirement age</t>
  </si>
  <si>
    <t>Participant's PBGC expected retirement age (XRA) - calculated based on information entered in Line 3.</t>
  </si>
  <si>
    <t>c.</t>
  </si>
  <si>
    <t>Monthly benefit, payable as a single life annuity assuming benefits begin at the XRA shown in Line 4.b.</t>
  </si>
  <si>
    <t>5.</t>
  </si>
  <si>
    <t>Present value of participant's accrued benefit determined using PBGC missing participant assumptions</t>
  </si>
  <si>
    <t>Participants who have Already Reached Normal Retirement Age</t>
  </si>
  <si>
    <r>
      <t xml:space="preserve">Please read the instructions before entering information into this spreadsheet. Enter actual information for all items shown in </t>
    </r>
    <r>
      <rPr>
        <b/>
        <i/>
        <sz val="12"/>
        <color rgb="FF0000FF"/>
        <rFont val="Arial"/>
        <family val="2"/>
      </rPr>
      <t>bold blue italics</t>
    </r>
    <r>
      <rPr>
        <sz val="12"/>
        <rFont val="Arial"/>
        <family val="2"/>
      </rPr>
      <t>. All other items shown are calculated items that can not be altered.</t>
    </r>
  </si>
  <si>
    <t>Jane Smith</t>
  </si>
  <si>
    <t>Normal retirement date (NRD) per plan provisions*</t>
  </si>
  <si>
    <t>Monthly benefit that would have been payable as a single life annuity had the
participant commenced payment at the participant's NRD*</t>
  </si>
  <si>
    <t>Present value of participant's accrued benefit using PBGC missing
participant assumptions</t>
  </si>
  <si>
    <t>In addition to the amount shown above, the benefit transfer amount includes the accumulated value of the amount reported in Line 3 above from the participant's normal retirement date to the benefit determination date.  See Appendix 3 of filing instructions for details about how to do this calculation.</t>
  </si>
  <si>
    <t xml:space="preserve">* If the participant accrued benefits after NRD, the date benefit accruals ceased replaces NRD in Lines 2.d. and 3.  </t>
  </si>
  <si>
    <t>Annual SLA Annuity Factor</t>
  </si>
  <si>
    <r>
      <t xml:space="preserve">with "4-way" </t>
    </r>
    <r>
      <rPr>
        <b/>
        <sz val="10"/>
        <color rgb="FFFF0000"/>
        <rFont val="Arial Unicode MS"/>
        <family val="2"/>
      </rPr>
      <t>REVISED</t>
    </r>
    <r>
      <rPr>
        <sz val="10"/>
        <color rgb="FFFF0000"/>
        <rFont val="Arial Unicode MS"/>
        <family val="2"/>
      </rPr>
      <t xml:space="preserve"> </t>
    </r>
    <r>
      <rPr>
        <sz val="10"/>
        <rFont val="Arial Unicode MS"/>
        <family val="2"/>
      </rPr>
      <t>interpolation for fractional ages</t>
    </r>
  </si>
  <si>
    <t>Deferral age</t>
  </si>
  <si>
    <t>Survival</t>
  </si>
  <si>
    <t>rounded:</t>
  </si>
  <si>
    <t>Current Age</t>
  </si>
  <si>
    <r>
      <t>4050 Unisex Mortality (q</t>
    </r>
    <r>
      <rPr>
        <b/>
        <vertAlign val="subscript"/>
        <sz val="10"/>
        <rFont val="Arial"/>
        <family val="2"/>
      </rPr>
      <t>x</t>
    </r>
    <r>
      <rPr>
        <b/>
        <sz val="10"/>
        <rFont val="Arial"/>
        <family val="2"/>
      </rPr>
      <t>)</t>
    </r>
  </si>
  <si>
    <t>Discount</t>
  </si>
  <si>
    <t>Survival Discount to BOY</t>
  </si>
  <si>
    <t>4044
YC+Spread
(mid-year rates)</t>
  </si>
  <si>
    <t>Interest Discount Period</t>
  </si>
  <si>
    <t>Down</t>
  </si>
  <si>
    <t>Up</t>
  </si>
  <si>
    <t>Deferral Age</t>
  </si>
  <si>
    <r>
      <t>p</t>
    </r>
    <r>
      <rPr>
        <b/>
        <vertAlign val="subscript"/>
        <sz val="10"/>
        <rFont val="Arial"/>
        <family val="2"/>
      </rPr>
      <t>x</t>
    </r>
  </si>
  <si>
    <t>Interest Discount</t>
  </si>
  <si>
    <t>Up2</t>
  </si>
  <si>
    <t>Age</t>
  </si>
  <si>
    <r>
      <t>[= 1-q</t>
    </r>
    <r>
      <rPr>
        <b/>
        <vertAlign val="subscript"/>
        <sz val="10"/>
        <rFont val="Arial"/>
        <family val="2"/>
      </rPr>
      <t>x</t>
    </r>
    <r>
      <rPr>
        <b/>
        <sz val="10"/>
        <rFont val="Arial"/>
        <family val="2"/>
      </rPr>
      <t>]</t>
    </r>
  </si>
  <si>
    <r>
      <t>p</t>
    </r>
    <r>
      <rPr>
        <vertAlign val="subscript"/>
        <sz val="10"/>
        <rFont val="Arial"/>
        <family val="2"/>
      </rPr>
      <t>x</t>
    </r>
    <r>
      <rPr>
        <vertAlign val="superscript"/>
        <sz val="10"/>
        <rFont val="Arial"/>
        <family val="2"/>
      </rPr>
      <t>(5/12)</t>
    </r>
  </si>
  <si>
    <t>Assume mid year payments</t>
  </si>
  <si>
    <t>Time</t>
  </si>
  <si>
    <t>Interpolated Factor</t>
  </si>
  <si>
    <t>(annual SLA)</t>
  </si>
  <si>
    <t>Notes:</t>
  </si>
  <si>
    <t>Mortality Tables are the 4050 static mortality for 2026</t>
  </si>
  <si>
    <t xml:space="preserve">Dec 2025 4044 yield curve from 4044 yield curve Excel file. </t>
  </si>
  <si>
    <t>Rates at 1/2 year intervals used.</t>
  </si>
  <si>
    <t>linear interpolation for fractional ages</t>
  </si>
  <si>
    <t>Current age</t>
  </si>
  <si>
    <t>4050 Unisex Mortality (qx)</t>
  </si>
  <si>
    <t>rounded</t>
  </si>
  <si>
    <t>Interest</t>
  </si>
  <si>
    <r>
      <t>p</t>
    </r>
    <r>
      <rPr>
        <b/>
        <vertAlign val="subscript"/>
        <sz val="10"/>
        <rFont val="Arial"/>
        <family val="2"/>
      </rPr>
      <t>x</t>
    </r>
    <r>
      <rPr>
        <b/>
        <vertAlign val="superscript"/>
        <sz val="10"/>
        <rFont val="Arial"/>
        <family val="2"/>
      </rPr>
      <t>(5/12)</t>
    </r>
  </si>
  <si>
    <t>AnnuityFactor:</t>
  </si>
  <si>
    <t>Dec 2025 4044 yield curve from 4044 yield curve Excel file.</t>
  </si>
  <si>
    <t>Before RBD Calculations</t>
  </si>
  <si>
    <r>
      <t xml:space="preserve">Calculations - </t>
    </r>
    <r>
      <rPr>
        <sz val="10"/>
        <color rgb="FFFF0000"/>
        <rFont val="Arial"/>
        <family val="2"/>
      </rPr>
      <t>eventually, we can move these somewhere behind the scenes</t>
    </r>
  </si>
  <si>
    <t>Age at Benefit Transfer Date (BTD)</t>
  </si>
  <si>
    <t>ERA for XRA calculation (later of 55, item 3a, and age at BTD)</t>
  </si>
  <si>
    <t>Check</t>
  </si>
  <si>
    <t>URA for XRA calculation (later of 55, item 3b, item 3a, and age at BTD)</t>
  </si>
  <si>
    <t xml:space="preserve">Expected Retirement Age (XRA) per PBGC regulation - </t>
  </si>
  <si>
    <t>AnnuFact</t>
  </si>
  <si>
    <t>After RBD Calculations</t>
  </si>
  <si>
    <t xml:space="preserve">Calculations </t>
  </si>
  <si>
    <t>PV factor</t>
  </si>
  <si>
    <r>
      <t xml:space="preserve">Table II-C, Expected Retirement Ages for Individuals in the </t>
    </r>
    <r>
      <rPr>
        <b/>
        <sz val="12"/>
        <color theme="1"/>
        <rFont val="Arial"/>
        <family val="2"/>
      </rPr>
      <t>HIGH</t>
    </r>
    <r>
      <rPr>
        <b/>
        <sz val="10"/>
        <color theme="1"/>
        <rFont val="Arial"/>
        <family val="2"/>
      </rPr>
      <t xml:space="preserve"> Category</t>
    </r>
  </si>
  <si>
    <t>--&gt;</t>
  </si>
  <si>
    <t>rounded age in complete calendar months to nearest integer</t>
  </si>
  <si>
    <t/>
  </si>
  <si>
    <t>XRA =</t>
  </si>
  <si>
    <t>Source:</t>
  </si>
  <si>
    <t>http://www.pbgc.gov/Documents/High-XRA-table.xlsx</t>
  </si>
  <si>
    <t>https://www.pbgc.gov/prac/mortality-retirement-and-pv-max-guarantee/erisa-section-4044-retirement-assumptions</t>
  </si>
  <si>
    <t>Unreduced retirement age</t>
  </si>
  <si>
    <t>Participant's earliest retirement age at valuation date</t>
  </si>
  <si>
    <t>ERISA 4044 Yield Curves</t>
  </si>
  <si>
    <t>Last Updated: January 20, 2026</t>
  </si>
  <si>
    <t>The interest assumption is the assumption for valuing benefits under § 4044.54 of this chapter applicable to valuations occurring on December 31 of the calendar year preceding the calendar year in which the benefit determination date occurs. However, for benefit determination dates July 31 through December 31 of 2024, the interest assumption is the assumption for valuing benefits under § 4044.54 of this chapter applicable to valuations occurring on July 31, 2024.</t>
  </si>
  <si>
    <r>
      <t xml:space="preserve">The table below shows the yield curves developed in accordance </t>
    </r>
    <r>
      <rPr>
        <sz val="10"/>
        <color rgb="FF000000"/>
        <rFont val="Aptos Narrow"/>
        <family val="2"/>
      </rPr>
      <t>§</t>
    </r>
    <r>
      <rPr>
        <sz val="10"/>
        <color rgb="FF000000"/>
        <rFont val="Arial"/>
        <family val="2"/>
      </rPr>
      <t xml:space="preserve"> 4044.54 of PBGC's 4044 regulation.  For valuation dates on or after January 1, 2026, and before December 31, 2026, these yield curves serve as the interest assumption when determining the present value of annuities in involuntary and distress terminations of single-employer plans.  They are also used for other purposes, including, but not limited to, 4010 reporting and certain withdrawal liability calcuations.</t>
    </r>
  </si>
  <si>
    <t>4044 Yield Curves*</t>
  </si>
  <si>
    <t>Forward Rates for Checking</t>
  </si>
  <si>
    <t>Year</t>
  </si>
  <si>
    <t>Spot Rate</t>
  </si>
  <si>
    <t>Accum Factor</t>
  </si>
  <si>
    <t>Forward Rate</t>
  </si>
  <si>
    <t>Link to Code of Federal Regulations</t>
  </si>
  <si>
    <t>4050.102 Defintions</t>
  </si>
  <si>
    <t>Link to 4044 Yield Curve</t>
  </si>
  <si>
    <t>12/22/2025: changed link SL</t>
  </si>
  <si>
    <t>30.0+</t>
  </si>
  <si>
    <t xml:space="preserve">* For valuation dates that are not the last day of a month, the 4044 yield curve to be used for 4044 purposes is the yield curve as of the last day of the prior month.   </t>
  </si>
  <si>
    <t>Missing Participant Mortality from New 4044 Reg [4044.53(h)]</t>
  </si>
  <si>
    <t>4044.53(h)</t>
  </si>
  <si>
    <t>Unisex Mortality</t>
  </si>
  <si>
    <t xml:space="preserve">For 2025, the unisex mortality  is applicable from 1/1/2025 through 12/31/2025.  Each year thereafter, the mortality will be updated for another year of projection and applicable for the entire calendar year.  </t>
  </si>
  <si>
    <t>From PBGC website</t>
  </si>
  <si>
    <t>ERISA 4050 mortality table</t>
  </si>
  <si>
    <t>Annual Update Instructions for:</t>
  </si>
  <si>
    <t>Updated</t>
  </si>
  <si>
    <t>Reviewed</t>
  </si>
  <si>
    <t>SL</t>
  </si>
  <si>
    <t>Download a copy of last year's final worksheet from https://www.pbgc.gov/prac/category-2-calculators.</t>
  </si>
  <si>
    <t>Unprotect the entire workbook.  {Review | Protect Workbook, type password} Password is saved in a text file in prior year's folder on SharePoint.</t>
  </si>
  <si>
    <t>Make all worksheet visible via the VBA editor {Developer|Visual Basic}.  Select a sheet and change visibility to a -1 from drop down menu (see below).</t>
  </si>
  <si>
    <t>4050 Mortality sheet:</t>
  </si>
  <si>
    <t>4044 Yield Curves sheet:</t>
  </si>
  <si>
    <t>On "Before NRA" sheet:</t>
  </si>
  <si>
    <t>a. Unprotect sheet using same password from #2 above. {Review | Unprotect sheet}</t>
  </si>
  <si>
    <r>
      <t>Make sure to update both the conditions (</t>
    </r>
    <r>
      <rPr>
        <b/>
        <sz val="11"/>
        <rFont val="Arial"/>
        <family val="2"/>
      </rPr>
      <t>Settings</t>
    </r>
    <r>
      <rPr>
        <sz val="11"/>
        <rFont val="Arial"/>
        <family val="2"/>
      </rPr>
      <t>) and the message (</t>
    </r>
    <r>
      <rPr>
        <b/>
        <sz val="11"/>
        <rFont val="Arial"/>
        <family val="2"/>
      </rPr>
      <t>Error Alert</t>
    </r>
    <r>
      <rPr>
        <sz val="11"/>
        <rFont val="Arial"/>
        <family val="2"/>
      </rPr>
      <t>).</t>
    </r>
  </si>
  <si>
    <t>d. Double check that the notes that pop up (col G) are still there.</t>
  </si>
  <si>
    <t>On "On or After NRA" sheet:</t>
  </si>
  <si>
    <t>a. Unprotect sheet using same password from #2 above.  {Review | Unprotect sheet}</t>
  </si>
  <si>
    <t>On "AnnuFact_Before_NRD" sheet:</t>
  </si>
  <si>
    <t>On "AnnuFact_After_NRD" sheet:</t>
  </si>
  <si>
    <t>Save a copy and append "- for Posting" (instead of "- for Internal Purposes"), then set password and sheet visibility as follows:</t>
  </si>
  <si>
    <r>
      <t>a. Protect the first 3 tabs ("</t>
    </r>
    <r>
      <rPr>
        <sz val="11"/>
        <color rgb="FFFF0000"/>
        <rFont val="Arial"/>
        <family val="2"/>
      </rPr>
      <t>Instructions", "Before NRA", and "On or After NRA"</t>
    </r>
    <r>
      <rPr>
        <sz val="11"/>
        <rFont val="Arial"/>
        <family val="2"/>
      </rPr>
      <t>), (i.e. the only visible sheets to the public), using {Review | Protect Sheet} and the same password from #2 above.  Leave the 5 "Work Area" sheets unprotected and visible so that the general public can use them.  Protect "AnnuFact_Before_NRD", and "AnnuFact_After_NRD".  FYI, "Annuity Factor Calcs" is protected.</t>
    </r>
  </si>
  <si>
    <r>
      <t xml:space="preserve">b. Hide all remaining tabs </t>
    </r>
    <r>
      <rPr>
        <b/>
        <sz val="11"/>
        <color rgb="FFFF0000"/>
        <rFont val="Arial"/>
        <family val="2"/>
      </rPr>
      <t>except</t>
    </r>
    <r>
      <rPr>
        <sz val="11"/>
        <rFont val="Arial"/>
        <family val="2"/>
      </rPr>
      <t xml:space="preserve"> "Instructions", "Before NRA", and "On or After NRA", and the 5 "Work Areas" via the VBA Editor {Developer|Visual Basic}.  Set the Visibility properties for the hidden tabs to "2 - xlSheetVeryHidden" using the VBA Editor menu {View | PropertiesWindow}. Exit VBA.</t>
    </r>
  </si>
  <si>
    <t>c. Protect the workbook using {Review | Protect Workbook} using the password from #2 above.</t>
  </si>
  <si>
    <t>1/20/2026 update</t>
  </si>
  <si>
    <t>AnnuFact_After_NRD</t>
  </si>
  <si>
    <t>In col O and U, added time so it's easier to match against yield curve</t>
  </si>
  <si>
    <t>AnnuFact_Before_NRD</t>
  </si>
  <si>
    <t>In col Q and X, added time so it's easier to match against yield curve</t>
  </si>
  <si>
    <t>On or After NRA</t>
  </si>
  <si>
    <t>G9: added error message that pops up</t>
  </si>
  <si>
    <t>C4: added acronym BDD</t>
  </si>
  <si>
    <t>Before NRA</t>
  </si>
  <si>
    <t>Monthly payments</t>
  </si>
  <si>
    <t>EG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</si>
</sst>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43" formatCode="_(* #,##0.00_);_(* \(#,##0.00\);_(* &quot;-&quot;??_);_(@_)"/>
    <numFmt numFmtId="164" formatCode="&quot;$&quot;#,##0.00"/>
    <numFmt numFmtId="165" formatCode="&quot;$&quot;#,##0"/>
    <numFmt numFmtId="166" formatCode="0.000000"/>
    <numFmt numFmtId="167" formatCode="0.0000000"/>
    <numFmt numFmtId="168" formatCode="_(* #,##0.000000_);_(* \(#,##0.000000\);_(* &quot;-&quot;??_);_(@_)"/>
    <numFmt numFmtId="169" formatCode="_(* #,##0.00000_);_(* \(#,##0.00000\);_(* &quot;-&quot;??_);_(@_)"/>
    <numFmt numFmtId="170" formatCode="0.000"/>
    <numFmt numFmtId="171" formatCode="0.0000"/>
    <numFmt numFmtId="172" formatCode="0."/>
    <numFmt numFmtId="173" formatCode="_(* #,##0.0000_);_(* \(#,##0.0000\);_(* &quot;-&quot;??_);_(@_)"/>
    <numFmt numFmtId="174" formatCode="_(* #,##0_);_(* \(#,##0\);_(* &quot;-&quot;??_);_(@_)"/>
    <numFmt numFmtId="175" formatCode="0.000%"/>
    <numFmt numFmtId="176" formatCode="0.0_);\(0.0\)"/>
    <numFmt numFmtId="177" formatCode="0.00000_);\(0.00000\)"/>
    <numFmt numFmtId="178" formatCode="0.0000_);\(0.0000\)"/>
    <numFmt numFmtId="179" formatCode="0.000000_);\(0.000000\)"/>
    <numFmt numFmtId="180" formatCode="_(* #,##0.000000_);_(* \(#,##0.000000\);_(* &quot;-&quot;??????_);_(@_)"/>
  </numFmts>
  <fonts count="8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sz val="10"/>
      <color theme="1"/>
      <name val="Arial"/>
      <family val="2"/>
    </font>
    <font>
      <sz val="10"/>
      <color theme="1"/>
      <name val="Arial"/>
      <family val="2"/>
    </font>
    <font>
      <b/>
      <sz val="10"/>
      <name val="Arial"/>
      <family val="2"/>
    </font>
    <font>
      <sz val="10"/>
      <color rgb="FFFF0000"/>
      <name val="Arial"/>
      <family val="2"/>
    </font>
    <font>
      <sz val="10"/>
      <name val="Arial"/>
      <family val="2"/>
    </font>
    <font>
      <b/>
      <u/>
      <sz val="10"/>
      <name val="Arial"/>
      <family val="2"/>
    </font>
    <font>
      <sz val="10"/>
      <color rgb="FF0000FF"/>
      <name val="Arial"/>
      <family val="2"/>
    </font>
    <font>
      <u/>
      <sz val="10"/>
      <color theme="10"/>
      <name val="Arial"/>
      <family val="2"/>
    </font>
    <font>
      <sz val="11"/>
      <color theme="1"/>
      <name val="Calibri"/>
      <family val="2"/>
      <scheme val="minor"/>
    </font>
    <font>
      <sz val="10"/>
      <color rgb="FF3333FF"/>
      <name val="Arial"/>
      <family val="2"/>
    </font>
    <font>
      <sz val="10"/>
      <name val="Arial Unicode MS"/>
      <family val="2"/>
    </font>
    <font>
      <sz val="10"/>
      <color rgb="FF00B0F0"/>
      <name val="Arial"/>
      <family val="2"/>
    </font>
    <font>
      <b/>
      <sz val="10"/>
      <color theme="1"/>
      <name val="Arial"/>
      <family val="2"/>
    </font>
    <font>
      <b/>
      <sz val="10"/>
      <color rgb="FFC00000"/>
      <name val="Arial"/>
      <family val="2"/>
    </font>
    <font>
      <b/>
      <sz val="10"/>
      <color rgb="FF0000FF"/>
      <name val="Arial"/>
      <family val="2"/>
    </font>
    <font>
      <b/>
      <sz val="12"/>
      <color theme="1"/>
      <name val="Arial"/>
      <family val="2"/>
    </font>
    <font>
      <sz val="12"/>
      <name val="Arial"/>
      <family val="2"/>
    </font>
    <font>
      <sz val="12"/>
      <color rgb="FF0000FF"/>
      <name val="Arial"/>
      <family val="2"/>
    </font>
    <font>
      <b/>
      <sz val="12"/>
      <name val="Arial"/>
      <family val="2"/>
    </font>
    <font>
      <b/>
      <i/>
      <sz val="12"/>
      <name val="Arial"/>
      <family val="2"/>
    </font>
    <font>
      <sz val="12"/>
      <color rgb="FF00B0F0"/>
      <name val="Arial"/>
      <family val="2"/>
    </font>
    <font>
      <sz val="12"/>
      <color rgb="FFFF0000"/>
      <name val="Arial"/>
      <family val="2"/>
    </font>
    <font>
      <i/>
      <sz val="12"/>
      <color rgb="FF0000FF"/>
      <name val="Arial"/>
      <family val="2"/>
    </font>
    <font>
      <i/>
      <sz val="12"/>
      <name val="Arial"/>
      <family val="2"/>
    </font>
    <font>
      <sz val="18"/>
      <color rgb="FFFF0000"/>
      <name val="Arial"/>
      <family val="2"/>
    </font>
    <font>
      <b/>
      <sz val="18"/>
      <color rgb="FFFF0000"/>
      <name val="Arial"/>
      <family val="2"/>
    </font>
    <font>
      <i/>
      <sz val="8"/>
      <color rgb="FFFF0000"/>
      <name val="Arial"/>
      <family val="2"/>
    </font>
    <font>
      <sz val="11"/>
      <color rgb="FFFF0000"/>
      <name val="Arial"/>
      <family val="2"/>
    </font>
    <font>
      <b/>
      <sz val="11"/>
      <color theme="1"/>
      <name val="Calibri"/>
      <family val="2"/>
      <scheme val="minor"/>
    </font>
    <font>
      <b/>
      <sz val="14"/>
      <color theme="1"/>
      <name val="Calibri"/>
      <family val="2"/>
      <scheme val="minor"/>
    </font>
    <font>
      <b/>
      <sz val="12"/>
      <color theme="1"/>
      <name val="Calibri"/>
      <family val="2"/>
      <scheme val="minor"/>
    </font>
    <font>
      <i/>
      <sz val="11"/>
      <color theme="1"/>
      <name val="Calibri"/>
      <family val="2"/>
      <scheme val="minor"/>
    </font>
    <font>
      <u/>
      <sz val="10"/>
      <name val="Arial"/>
      <family val="2"/>
    </font>
    <font>
      <sz val="10"/>
      <color rgb="FF00B050"/>
      <name val="Arial"/>
      <family val="2"/>
    </font>
    <font>
      <sz val="10"/>
      <name val="Arial"/>
      <family val="2"/>
    </font>
    <font>
      <b/>
      <i/>
      <sz val="12"/>
      <color rgb="FF0000FF"/>
      <name val="Arial"/>
      <family val="2"/>
    </font>
    <font>
      <sz val="11"/>
      <name val="Arial"/>
      <family val="2"/>
    </font>
    <font>
      <b/>
      <i/>
      <sz val="11"/>
      <color rgb="FF0000FF"/>
      <name val="Calibri"/>
      <family val="2"/>
      <scheme val="minor"/>
    </font>
    <font>
      <sz val="9"/>
      <name val="Arial"/>
      <family val="2"/>
    </font>
    <font>
      <b/>
      <sz val="11"/>
      <name val="Arial"/>
      <family val="2"/>
    </font>
    <font>
      <b/>
      <sz val="11"/>
      <color rgb="FFFF0000"/>
      <name val="Arial"/>
      <family val="2"/>
    </font>
    <font>
      <b/>
      <sz val="9"/>
      <color rgb="FF002060"/>
      <name val="Arial"/>
      <family val="2"/>
    </font>
    <font>
      <b/>
      <sz val="9"/>
      <name val="Arial"/>
      <family val="2"/>
    </font>
    <font>
      <i/>
      <sz val="9"/>
      <name val="Arial"/>
      <family val="2"/>
    </font>
    <font>
      <b/>
      <i/>
      <sz val="9"/>
      <color theme="8" tint="-0.249977111117893"/>
      <name val="Arial"/>
      <family val="2"/>
    </font>
    <font>
      <sz val="10"/>
      <name val="Arial"/>
      <family val="2"/>
    </font>
    <font>
      <b/>
      <sz val="9"/>
      <color rgb="FFFF0000"/>
      <name val="Arial"/>
      <family val="2"/>
    </font>
    <font>
      <sz val="11"/>
      <color theme="1"/>
      <name val="Arial"/>
      <family val="2"/>
    </font>
    <font>
      <b/>
      <sz val="12"/>
      <color rgb="FF000000"/>
      <name val="Arial"/>
      <family val="2"/>
    </font>
    <font>
      <sz val="11"/>
      <color rgb="FF000000"/>
      <name val="Arial"/>
      <family val="2"/>
    </font>
    <font>
      <sz val="10"/>
      <color rgb="FF000000"/>
      <name val="Arial"/>
      <family val="2"/>
    </font>
    <font>
      <sz val="10"/>
      <color rgb="FF000000"/>
      <name val="Aptos Narrow"/>
      <family val="2"/>
    </font>
    <font>
      <b/>
      <sz val="11"/>
      <color theme="1"/>
      <name val="Arial"/>
      <family val="2"/>
    </font>
    <font>
      <sz val="24"/>
      <color rgb="FF142640"/>
      <name val="Arial"/>
      <family val="2"/>
    </font>
    <font>
      <sz val="20"/>
      <color rgb="FF142640"/>
      <name val="Arial"/>
      <family val="2"/>
    </font>
    <font>
      <sz val="12"/>
      <color rgb="FF000000"/>
      <name val="Times New Roman"/>
      <family val="1"/>
    </font>
    <font>
      <b/>
      <sz val="12"/>
      <color rgb="FF000000"/>
      <name val="Times New Roman"/>
      <family val="1"/>
    </font>
    <font>
      <b/>
      <sz val="14"/>
      <color rgb="FF0000FF"/>
      <name val="Calibri"/>
      <family val="2"/>
      <scheme val="minor"/>
    </font>
    <font>
      <b/>
      <sz val="10"/>
      <color rgb="FFFF0000"/>
      <name val="Arial"/>
      <family val="2"/>
    </font>
    <font>
      <vertAlign val="subscript"/>
      <sz val="10"/>
      <name val="Arial"/>
      <family val="2"/>
    </font>
    <font>
      <sz val="10"/>
      <color rgb="FFFF0000"/>
      <name val="Arial Unicode MS"/>
      <family val="2"/>
    </font>
    <font>
      <b/>
      <sz val="10"/>
      <color rgb="FFFF0000"/>
      <name val="Arial Unicode MS"/>
      <family val="2"/>
    </font>
    <font>
      <b/>
      <sz val="7"/>
      <color rgb="FFFF0000"/>
      <name val="Arial"/>
      <family val="2"/>
    </font>
    <font>
      <b/>
      <vertAlign val="subscript"/>
      <sz val="10"/>
      <name val="Arial"/>
      <family val="2"/>
    </font>
    <font>
      <vertAlign val="superscript"/>
      <sz val="10"/>
      <name val="Arial"/>
      <family val="2"/>
    </font>
    <font>
      <b/>
      <vertAlign val="superscript"/>
      <sz val="10"/>
      <name val="Arial"/>
      <family val="2"/>
    </font>
    <font>
      <sz val="9"/>
      <color rgb="FF0000FF"/>
      <name val="Arial"/>
      <family val="2"/>
    </font>
    <font>
      <sz val="10"/>
      <color indexed="12"/>
      <name val="Times New Roman"/>
      <family val="1"/>
      <charset val="204"/>
    </font>
    <font>
      <b/>
      <sz val="11"/>
      <color rgb="FFFF0000"/>
      <name val="Calibri"/>
      <family val="2"/>
      <scheme val="minor"/>
    </font>
    <font>
      <sz val="9"/>
      <color rgb="FFFF0000"/>
      <name val="Arial"/>
      <family val="2"/>
    </font>
    <font>
      <b/>
      <sz val="7"/>
      <name val="Arial"/>
      <family val="2"/>
    </font>
    <font>
      <b/>
      <sz val="8"/>
      <name val="Arial"/>
      <family val="2"/>
    </font>
    <font>
      <i/>
      <sz val="11"/>
      <color rgb="FF7030A0"/>
      <name val="Arial"/>
      <family val="2"/>
    </font>
    <font>
      <b/>
      <sz val="11"/>
      <color rgb="FF0000FF"/>
      <name val="Arial"/>
      <family val="2"/>
    </font>
    <font>
      <i/>
      <sz val="10"/>
      <color theme="0"/>
      <name val="Arial"/>
      <family val="2"/>
    </font>
  </fonts>
  <fills count="18">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1"/>
        <bgColor indexed="64"/>
      </patternFill>
    </fill>
    <fill>
      <patternFill patternType="solid">
        <fgColor theme="5" tint="0.59999389629810485"/>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rgb="FFFFCCFF"/>
        <bgColor indexed="64"/>
      </patternFill>
    </fill>
    <fill>
      <patternFill patternType="solid">
        <fgColor theme="2"/>
        <bgColor indexed="64"/>
      </patternFill>
    </fill>
    <fill>
      <patternFill patternType="solid">
        <fgColor theme="0"/>
        <bgColor indexed="64"/>
      </patternFill>
    </fill>
    <fill>
      <patternFill patternType="solid">
        <fgColor theme="7" tint="0.39997558519241921"/>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7" tint="0.59999389629810485"/>
        <bgColor indexed="64"/>
      </patternFill>
    </fill>
    <fill>
      <patternFill patternType="solid">
        <fgColor theme="9" tint="0.39997558519241921"/>
        <bgColor indexed="64"/>
      </patternFill>
    </fill>
  </fills>
  <borders count="32">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s>
  <cellStyleXfs count="17">
    <xf numFmtId="0" fontId="0" fillId="0" borderId="0"/>
    <xf numFmtId="0" fontId="9" fillId="0" borderId="0"/>
    <xf numFmtId="0" fontId="12" fillId="0" borderId="0" applyNumberFormat="0" applyFill="0" applyBorder="0" applyAlignment="0" applyProtection="0"/>
    <xf numFmtId="9" fontId="9" fillId="0" borderId="0" applyFont="0" applyFill="0" applyBorder="0" applyAlignment="0" applyProtection="0"/>
    <xf numFmtId="9" fontId="6" fillId="0" borderId="0" applyFont="0" applyFill="0" applyBorder="0" applyAlignment="0" applyProtection="0"/>
    <xf numFmtId="0" fontId="9" fillId="0" borderId="0"/>
    <xf numFmtId="0" fontId="6" fillId="0" borderId="0"/>
    <xf numFmtId="9" fontId="13" fillId="0" borderId="0" applyFont="0" applyFill="0" applyBorder="0" applyAlignment="0" applyProtection="0"/>
    <xf numFmtId="43" fontId="13" fillId="0" borderId="0" applyFont="0" applyFill="0" applyBorder="0" applyAlignment="0" applyProtection="0"/>
    <xf numFmtId="0" fontId="5" fillId="0" borderId="0"/>
    <xf numFmtId="43" fontId="39" fillId="0" borderId="0" applyFont="0" applyFill="0" applyBorder="0" applyAlignment="0" applyProtection="0"/>
    <xf numFmtId="9" fontId="50" fillId="0" borderId="0" applyFont="0" applyFill="0" applyBorder="0" applyAlignment="0" applyProtection="0"/>
    <xf numFmtId="0" fontId="3" fillId="0" borderId="0"/>
    <xf numFmtId="9" fontId="3" fillId="0" borderId="0" applyFont="0" applyFill="0" applyBorder="0" applyAlignment="0" applyProtection="0"/>
    <xf numFmtId="0" fontId="2" fillId="0" borderId="0"/>
    <xf numFmtId="0" fontId="2" fillId="0" borderId="0"/>
    <xf numFmtId="43" fontId="2" fillId="0" borderId="0" applyFont="0" applyFill="0" applyBorder="0" applyAlignment="0" applyProtection="0"/>
  </cellStyleXfs>
  <cellXfs count="421">
    <xf numFmtId="0" fontId="0" fillId="0" borderId="0" xfId="0"/>
    <xf numFmtId="0" fontId="0" fillId="0" borderId="0" xfId="0" quotePrefix="1" applyAlignment="1">
      <alignment horizontal="left"/>
    </xf>
    <xf numFmtId="0" fontId="9" fillId="0" borderId="0" xfId="0" applyFont="1" applyAlignment="1" applyProtection="1">
      <alignment horizontal="left"/>
      <protection locked="0"/>
    </xf>
    <xf numFmtId="0" fontId="9" fillId="0" borderId="0" xfId="1"/>
    <xf numFmtId="0" fontId="9" fillId="0" borderId="0" xfId="5"/>
    <xf numFmtId="166" fontId="9" fillId="3" borderId="0" xfId="5" applyNumberFormat="1" applyFill="1"/>
    <xf numFmtId="0" fontId="9" fillId="2" borderId="0" xfId="1" quotePrefix="1" applyFill="1" applyAlignment="1">
      <alignment horizontal="center" wrapText="1"/>
    </xf>
    <xf numFmtId="166" fontId="9" fillId="3" borderId="0" xfId="5" quotePrefix="1" applyNumberFormat="1" applyFill="1" applyAlignment="1">
      <alignment horizontal="center"/>
    </xf>
    <xf numFmtId="0" fontId="9" fillId="0" borderId="0" xfId="6" applyFont="1" applyAlignment="1">
      <alignment horizontal="center"/>
    </xf>
    <xf numFmtId="167" fontId="14" fillId="0" borderId="0" xfId="6" applyNumberFormat="1" applyFont="1"/>
    <xf numFmtId="166" fontId="9" fillId="0" borderId="0" xfId="5" applyNumberFormat="1"/>
    <xf numFmtId="1" fontId="9" fillId="0" borderId="0" xfId="5" applyNumberFormat="1"/>
    <xf numFmtId="168" fontId="9" fillId="0" borderId="0" xfId="8" applyNumberFormat="1" applyFont="1"/>
    <xf numFmtId="166" fontId="9" fillId="0" borderId="0" xfId="1" applyNumberFormat="1"/>
    <xf numFmtId="0" fontId="9" fillId="0" borderId="0" xfId="1" applyAlignment="1">
      <alignment horizontal="center"/>
    </xf>
    <xf numFmtId="169" fontId="9" fillId="0" borderId="0" xfId="5" applyNumberFormat="1"/>
    <xf numFmtId="0" fontId="11" fillId="0" borderId="0" xfId="5" applyFont="1"/>
    <xf numFmtId="0" fontId="6" fillId="5" borderId="0" xfId="6" applyFill="1" applyAlignment="1">
      <alignment horizontal="center" wrapText="1"/>
    </xf>
    <xf numFmtId="0" fontId="9" fillId="0" borderId="0" xfId="0" applyFont="1"/>
    <xf numFmtId="0" fontId="11" fillId="0" borderId="0" xfId="0" applyFont="1" applyAlignment="1">
      <alignment horizontal="right"/>
    </xf>
    <xf numFmtId="166" fontId="9" fillId="0" borderId="0" xfId="0" applyNumberFormat="1" applyFont="1" applyAlignment="1">
      <alignment horizontal="right"/>
    </xf>
    <xf numFmtId="170" fontId="9" fillId="5" borderId="0" xfId="0" applyNumberFormat="1" applyFont="1" applyFill="1"/>
    <xf numFmtId="0" fontId="9" fillId="0" borderId="0" xfId="0" quotePrefix="1" applyFont="1"/>
    <xf numFmtId="0" fontId="9" fillId="0" borderId="0" xfId="0" quotePrefix="1" applyFont="1" applyAlignment="1">
      <alignment horizontal="left"/>
    </xf>
    <xf numFmtId="0" fontId="16" fillId="0" borderId="0" xfId="0" quotePrefix="1" applyFont="1" applyAlignment="1">
      <alignment horizontal="left"/>
    </xf>
    <xf numFmtId="0" fontId="16" fillId="0" borderId="0" xfId="0" applyFont="1" applyAlignment="1" applyProtection="1">
      <alignment horizontal="left"/>
      <protection locked="0"/>
    </xf>
    <xf numFmtId="171" fontId="9" fillId="0" borderId="0" xfId="0" applyNumberFormat="1" applyFont="1" applyAlignment="1" applyProtection="1">
      <alignment horizontal="right"/>
      <protection locked="0"/>
    </xf>
    <xf numFmtId="170" fontId="9" fillId="5" borderId="0" xfId="0" applyNumberFormat="1" applyFont="1" applyFill="1" applyAlignment="1">
      <alignment horizontal="right"/>
    </xf>
    <xf numFmtId="1" fontId="9" fillId="8" borderId="0" xfId="0" applyNumberFormat="1" applyFont="1" applyFill="1" applyAlignment="1">
      <alignment horizontal="right"/>
    </xf>
    <xf numFmtId="1" fontId="9" fillId="4" borderId="0" xfId="0" quotePrefix="1" applyNumberFormat="1" applyFont="1" applyFill="1" applyAlignment="1">
      <alignment horizontal="left"/>
    </xf>
    <xf numFmtId="1" fontId="9" fillId="8" borderId="0" xfId="0" quotePrefix="1" applyNumberFormat="1" applyFont="1" applyFill="1" applyAlignment="1">
      <alignment horizontal="left"/>
    </xf>
    <xf numFmtId="0" fontId="15" fillId="10" borderId="0" xfId="0" applyFont="1" applyFill="1"/>
    <xf numFmtId="0" fontId="0" fillId="10" borderId="0" xfId="0" applyFill="1"/>
    <xf numFmtId="0" fontId="15" fillId="10" borderId="0" xfId="0" quotePrefix="1" applyFont="1" applyFill="1" applyAlignment="1">
      <alignment horizontal="left"/>
    </xf>
    <xf numFmtId="168" fontId="19" fillId="10" borderId="0" xfId="8" applyNumberFormat="1" applyFont="1" applyFill="1"/>
    <xf numFmtId="166" fontId="9" fillId="0" borderId="0" xfId="0" applyNumberFormat="1" applyFont="1" applyAlignment="1">
      <alignment horizontal="left"/>
    </xf>
    <xf numFmtId="166" fontId="19" fillId="10" borderId="0" xfId="0" quotePrefix="1" applyNumberFormat="1" applyFont="1" applyFill="1" applyAlignment="1">
      <alignment horizontal="right"/>
    </xf>
    <xf numFmtId="171" fontId="19" fillId="5" borderId="0" xfId="1" applyNumberFormat="1" applyFont="1" applyFill="1" applyAlignment="1">
      <alignment horizontal="center"/>
    </xf>
    <xf numFmtId="171" fontId="9" fillId="5" borderId="0" xfId="0" applyNumberFormat="1" applyFont="1" applyFill="1" applyAlignment="1">
      <alignment horizontal="right"/>
    </xf>
    <xf numFmtId="171" fontId="19" fillId="4" borderId="0" xfId="6" applyNumberFormat="1" applyFont="1" applyFill="1" applyAlignment="1">
      <alignment horizontal="center"/>
    </xf>
    <xf numFmtId="1" fontId="8" fillId="10" borderId="0" xfId="0" applyNumberFormat="1" applyFont="1" applyFill="1" applyAlignment="1">
      <alignment horizontal="right"/>
    </xf>
    <xf numFmtId="0" fontId="5" fillId="0" borderId="0" xfId="9"/>
    <xf numFmtId="0" fontId="5" fillId="0" borderId="8" xfId="9" applyBorder="1" applyAlignment="1">
      <alignment wrapText="1"/>
    </xf>
    <xf numFmtId="0" fontId="17" fillId="0" borderId="0" xfId="9" applyFont="1"/>
    <xf numFmtId="0" fontId="17" fillId="5" borderId="8" xfId="9" applyFont="1" applyFill="1" applyBorder="1" applyAlignment="1">
      <alignment horizontal="center" vertical="center" wrapText="1"/>
    </xf>
    <xf numFmtId="0" fontId="17" fillId="5" borderId="8" xfId="9" applyFont="1" applyFill="1" applyBorder="1" applyAlignment="1">
      <alignment horizontal="center" wrapText="1"/>
    </xf>
    <xf numFmtId="0" fontId="17" fillId="8" borderId="8" xfId="9" applyFont="1" applyFill="1" applyBorder="1" applyAlignment="1">
      <alignment horizontal="center" vertical="center" wrapText="1"/>
    </xf>
    <xf numFmtId="0" fontId="5" fillId="2" borderId="8" xfId="9" applyFill="1" applyBorder="1" applyAlignment="1">
      <alignment wrapText="1"/>
    </xf>
    <xf numFmtId="166" fontId="9" fillId="10" borderId="0" xfId="0" applyNumberFormat="1" applyFont="1" applyFill="1" applyAlignment="1">
      <alignment horizontal="right"/>
    </xf>
    <xf numFmtId="0" fontId="9" fillId="10" borderId="0" xfId="0" applyFont="1" applyFill="1"/>
    <xf numFmtId="0" fontId="9" fillId="0" borderId="0" xfId="1" quotePrefix="1" applyAlignment="1">
      <alignment horizontal="right"/>
    </xf>
    <xf numFmtId="0" fontId="7" fillId="0" borderId="0" xfId="1" applyFont="1"/>
    <xf numFmtId="0" fontId="9" fillId="9" borderId="7" xfId="0" applyFont="1" applyFill="1" applyBorder="1"/>
    <xf numFmtId="0" fontId="16" fillId="9" borderId="0" xfId="0" quotePrefix="1" applyFont="1" applyFill="1" applyAlignment="1">
      <alignment horizontal="left"/>
    </xf>
    <xf numFmtId="0" fontId="16" fillId="9" borderId="0" xfId="0" applyFont="1" applyFill="1" applyAlignment="1" applyProtection="1">
      <alignment horizontal="left"/>
      <protection locked="0"/>
    </xf>
    <xf numFmtId="171" fontId="9" fillId="9" borderId="0" xfId="0" applyNumberFormat="1" applyFont="1" applyFill="1" applyAlignment="1" applyProtection="1">
      <alignment horizontal="right"/>
      <protection locked="0"/>
    </xf>
    <xf numFmtId="0" fontId="9" fillId="9" borderId="7" xfId="0" quotePrefix="1" applyFont="1" applyFill="1" applyBorder="1"/>
    <xf numFmtId="0" fontId="9" fillId="9" borderId="0" xfId="0" quotePrefix="1" applyFont="1" applyFill="1" applyAlignment="1">
      <alignment horizontal="left"/>
    </xf>
    <xf numFmtId="0" fontId="9" fillId="9" borderId="0" xfId="0" applyFont="1" applyFill="1" applyAlignment="1" applyProtection="1">
      <alignment horizontal="left"/>
      <protection locked="0"/>
    </xf>
    <xf numFmtId="0" fontId="18" fillId="0" borderId="0" xfId="0" applyFont="1" applyAlignment="1" applyProtection="1">
      <alignment horizontal="right"/>
      <protection locked="0"/>
    </xf>
    <xf numFmtId="0" fontId="12" fillId="0" borderId="0" xfId="2"/>
    <xf numFmtId="0" fontId="4" fillId="4" borderId="1" xfId="6" quotePrefix="1" applyFont="1" applyFill="1" applyBorder="1" applyAlignment="1">
      <alignment horizontal="left"/>
    </xf>
    <xf numFmtId="170" fontId="4" fillId="4" borderId="2" xfId="6" applyNumberFormat="1" applyFont="1" applyFill="1" applyBorder="1" applyAlignment="1">
      <alignment horizontal="center"/>
    </xf>
    <xf numFmtId="170" fontId="4" fillId="4" borderId="4" xfId="6" applyNumberFormat="1" applyFont="1" applyFill="1" applyBorder="1" applyAlignment="1">
      <alignment horizontal="center"/>
    </xf>
    <xf numFmtId="170" fontId="9" fillId="9" borderId="6" xfId="1" applyNumberFormat="1" applyFill="1" applyBorder="1"/>
    <xf numFmtId="171" fontId="9" fillId="5" borderId="0" xfId="0" applyNumberFormat="1" applyFont="1" applyFill="1"/>
    <xf numFmtId="170" fontId="4" fillId="4" borderId="3" xfId="6" applyNumberFormat="1" applyFont="1" applyFill="1" applyBorder="1" applyAlignment="1">
      <alignment horizontal="left"/>
    </xf>
    <xf numFmtId="0" fontId="8" fillId="0" borderId="0" xfId="0" applyFont="1" applyAlignment="1" applyProtection="1">
      <alignment horizontal="left"/>
      <protection locked="0"/>
    </xf>
    <xf numFmtId="171" fontId="9" fillId="9" borderId="0" xfId="0" applyNumberFormat="1" applyFont="1" applyFill="1" applyAlignment="1">
      <alignment horizontal="right"/>
    </xf>
    <xf numFmtId="0" fontId="18" fillId="0" borderId="0" xfId="0" applyFont="1" applyAlignment="1">
      <alignment horizontal="right"/>
    </xf>
    <xf numFmtId="171" fontId="9" fillId="0" borderId="0" xfId="0" applyNumberFormat="1" applyFont="1" applyAlignment="1">
      <alignment horizontal="right"/>
    </xf>
    <xf numFmtId="0" fontId="0" fillId="3" borderId="0" xfId="0" quotePrefix="1" applyFill="1" applyAlignment="1">
      <alignment horizontal="left"/>
    </xf>
    <xf numFmtId="0" fontId="0" fillId="3" borderId="0" xfId="0" applyFill="1"/>
    <xf numFmtId="1" fontId="9" fillId="3" borderId="0" xfId="0" applyNumberFormat="1" applyFont="1" applyFill="1" applyAlignment="1">
      <alignment horizontal="right"/>
    </xf>
    <xf numFmtId="1" fontId="9" fillId="3" borderId="0" xfId="0" applyNumberFormat="1" applyFont="1" applyFill="1" applyAlignment="1">
      <alignment horizontal="center"/>
    </xf>
    <xf numFmtId="0" fontId="5" fillId="3" borderId="0" xfId="9" applyFill="1"/>
    <xf numFmtId="1" fontId="19" fillId="10" borderId="0" xfId="8" applyNumberFormat="1" applyFont="1" applyFill="1"/>
    <xf numFmtId="0" fontId="0" fillId="12" borderId="0" xfId="0" applyFill="1"/>
    <xf numFmtId="0" fontId="0" fillId="12" borderId="0" xfId="0" applyFill="1" applyAlignment="1">
      <alignment vertical="top" wrapText="1"/>
    </xf>
    <xf numFmtId="0" fontId="0" fillId="12" borderId="0" xfId="0" applyFill="1" applyAlignment="1">
      <alignment vertical="top"/>
    </xf>
    <xf numFmtId="0" fontId="8" fillId="0" borderId="0" xfId="1" quotePrefix="1" applyFont="1" applyAlignment="1">
      <alignment horizontal="left"/>
    </xf>
    <xf numFmtId="14" fontId="43" fillId="0" borderId="0" xfId="0" applyNumberFormat="1" applyFont="1" applyAlignment="1">
      <alignment vertical="center" wrapText="1"/>
    </xf>
    <xf numFmtId="0" fontId="44" fillId="0" borderId="0" xfId="1" applyFont="1"/>
    <xf numFmtId="0" fontId="41" fillId="0" borderId="0" xfId="1" applyFont="1"/>
    <xf numFmtId="172" fontId="41" fillId="0" borderId="0" xfId="1" applyNumberFormat="1" applyFont="1" applyAlignment="1">
      <alignment horizontal="center"/>
    </xf>
    <xf numFmtId="0" fontId="41" fillId="0" borderId="0" xfId="1" quotePrefix="1" applyFont="1" applyAlignment="1">
      <alignment horizontal="left"/>
    </xf>
    <xf numFmtId="0" fontId="32" fillId="0" borderId="0" xfId="1" quotePrefix="1" applyFont="1" applyAlignment="1">
      <alignment horizontal="left"/>
    </xf>
    <xf numFmtId="172" fontId="41" fillId="0" borderId="0" xfId="1" applyNumberFormat="1" applyFont="1"/>
    <xf numFmtId="0" fontId="32" fillId="0" borderId="0" xfId="1" applyFont="1"/>
    <xf numFmtId="168" fontId="9" fillId="0" borderId="0" xfId="8" applyNumberFormat="1" applyFont="1" applyFill="1"/>
    <xf numFmtId="0" fontId="43" fillId="0" borderId="0" xfId="1" applyFont="1" applyAlignment="1">
      <alignment horizontal="center"/>
    </xf>
    <xf numFmtId="0" fontId="46" fillId="14" borderId="12" xfId="1" applyFont="1" applyFill="1" applyBorder="1" applyAlignment="1">
      <alignment horizontal="center"/>
    </xf>
    <xf numFmtId="0" fontId="47" fillId="3" borderId="12" xfId="1" applyFont="1" applyFill="1" applyBorder="1" applyAlignment="1">
      <alignment horizontal="center"/>
    </xf>
    <xf numFmtId="0" fontId="47" fillId="0" borderId="0" xfId="1" applyFont="1" applyAlignment="1">
      <alignment horizontal="center"/>
    </xf>
    <xf numFmtId="0" fontId="41" fillId="0" borderId="0" xfId="1" applyFont="1" applyAlignment="1">
      <alignment horizontal="left"/>
    </xf>
    <xf numFmtId="0" fontId="24" fillId="0" borderId="0" xfId="0" applyFont="1"/>
    <xf numFmtId="0" fontId="21" fillId="0" borderId="0" xfId="0" applyFont="1" applyAlignment="1">
      <alignment horizontal="right"/>
    </xf>
    <xf numFmtId="0" fontId="21" fillId="0" borderId="0" xfId="0" applyFont="1" applyAlignment="1">
      <alignment horizontal="left"/>
    </xf>
    <xf numFmtId="0" fontId="21" fillId="0" borderId="0" xfId="0" applyFont="1"/>
    <xf numFmtId="0" fontId="9" fillId="0" borderId="0" xfId="0" applyFont="1" applyAlignment="1">
      <alignment vertical="center"/>
    </xf>
    <xf numFmtId="0" fontId="0" fillId="0" borderId="0" xfId="0" applyAlignment="1">
      <alignment horizontal="right" vertical="center"/>
    </xf>
    <xf numFmtId="0" fontId="0" fillId="0" borderId="0" xfId="0" applyAlignment="1">
      <alignment horizontal="left" vertical="center"/>
    </xf>
    <xf numFmtId="0" fontId="0" fillId="0" borderId="0" xfId="0" applyAlignment="1">
      <alignment vertical="center"/>
    </xf>
    <xf numFmtId="0" fontId="11" fillId="0" borderId="0" xfId="0" quotePrefix="1" applyFont="1" applyAlignment="1">
      <alignment vertical="center"/>
    </xf>
    <xf numFmtId="14" fontId="29" fillId="0" borderId="0" xfId="0" applyNumberFormat="1" applyFont="1" applyAlignment="1">
      <alignment horizontal="center" vertical="top"/>
    </xf>
    <xf numFmtId="14" fontId="7" fillId="0" borderId="0" xfId="0" applyNumberFormat="1" applyFont="1" applyAlignment="1">
      <alignment horizontal="right" vertical="center"/>
    </xf>
    <xf numFmtId="0" fontId="9" fillId="0" borderId="0" xfId="0" quotePrefix="1" applyFont="1" applyAlignment="1">
      <alignment vertical="center"/>
    </xf>
    <xf numFmtId="0" fontId="21" fillId="0" borderId="0" xfId="0" applyFont="1" applyAlignment="1">
      <alignment horizontal="left" vertical="center"/>
    </xf>
    <xf numFmtId="0" fontId="16" fillId="0" borderId="0" xfId="0" applyFont="1" applyAlignment="1">
      <alignment horizontal="right" vertical="center"/>
    </xf>
    <xf numFmtId="0" fontId="9" fillId="0" borderId="0" xfId="0" applyFont="1" applyAlignment="1">
      <alignment horizontal="right" vertical="center"/>
    </xf>
    <xf numFmtId="0" fontId="10" fillId="0" borderId="0" xfId="0" quotePrefix="1" applyFont="1" applyAlignment="1">
      <alignment horizontal="center" vertical="center"/>
    </xf>
    <xf numFmtId="0" fontId="11" fillId="0" borderId="0" xfId="0" applyFont="1" applyAlignment="1">
      <alignment vertical="center"/>
    </xf>
    <xf numFmtId="0" fontId="21" fillId="0" borderId="0" xfId="0" quotePrefix="1" applyFont="1" applyAlignment="1">
      <alignment horizontal="left" vertical="center"/>
    </xf>
    <xf numFmtId="0" fontId="9" fillId="0" borderId="0" xfId="0" quotePrefix="1" applyFont="1" applyAlignment="1">
      <alignment horizontal="left" vertical="center"/>
    </xf>
    <xf numFmtId="0" fontId="9" fillId="0" borderId="0" xfId="0" applyFont="1" applyAlignment="1">
      <alignment horizontal="left" vertical="center"/>
    </xf>
    <xf numFmtId="0" fontId="21" fillId="0" borderId="0" xfId="0" applyFont="1" applyAlignment="1">
      <alignment vertical="center"/>
    </xf>
    <xf numFmtId="14" fontId="16" fillId="0" borderId="0" xfId="0" applyNumberFormat="1" applyFont="1" applyAlignment="1">
      <alignment horizontal="right" vertical="center"/>
    </xf>
    <xf numFmtId="14" fontId="32" fillId="0" borderId="0" xfId="0" applyNumberFormat="1" applyFont="1" applyAlignment="1">
      <alignment vertical="top"/>
    </xf>
    <xf numFmtId="14" fontId="43" fillId="0" borderId="0" xfId="0" applyNumberFormat="1" applyFont="1" applyAlignment="1">
      <alignment vertical="top" wrapText="1"/>
    </xf>
    <xf numFmtId="0" fontId="21" fillId="0" borderId="0" xfId="0" quotePrefix="1" applyFont="1" applyAlignment="1">
      <alignment horizontal="left" vertical="top"/>
    </xf>
    <xf numFmtId="0" fontId="7" fillId="0" borderId="0" xfId="0" applyFont="1" applyAlignment="1">
      <alignment horizontal="right" vertical="center"/>
    </xf>
    <xf numFmtId="0" fontId="21" fillId="0" borderId="0" xfId="0" applyFont="1" applyAlignment="1">
      <alignment vertical="top"/>
    </xf>
    <xf numFmtId="171" fontId="9" fillId="0" borderId="0" xfId="0" applyNumberFormat="1" applyFont="1" applyAlignment="1">
      <alignment horizontal="right" vertical="center"/>
    </xf>
    <xf numFmtId="14" fontId="29" fillId="0" borderId="0" xfId="0" applyNumberFormat="1" applyFont="1" applyAlignment="1">
      <alignment horizontal="center" vertical="center"/>
    </xf>
    <xf numFmtId="164" fontId="7" fillId="0" borderId="0" xfId="0" quotePrefix="1" applyNumberFormat="1" applyFont="1" applyAlignment="1">
      <alignment horizontal="right" vertical="center"/>
    </xf>
    <xf numFmtId="173" fontId="0" fillId="0" borderId="0" xfId="10" applyNumberFormat="1" applyFont="1" applyBorder="1" applyAlignment="1" applyProtection="1">
      <alignment horizontal="right" vertical="center"/>
    </xf>
    <xf numFmtId="0" fontId="23" fillId="0" borderId="0" xfId="0" applyFont="1"/>
    <xf numFmtId="14" fontId="26" fillId="0" borderId="0" xfId="0" applyNumberFormat="1" applyFont="1" applyAlignment="1">
      <alignment horizontal="left" vertical="center"/>
    </xf>
    <xf numFmtId="0" fontId="21" fillId="0" borderId="0" xfId="1" applyFont="1"/>
    <xf numFmtId="0" fontId="22" fillId="0" borderId="0" xfId="0" quotePrefix="1" applyFont="1" applyAlignment="1">
      <alignment vertical="center"/>
    </xf>
    <xf numFmtId="0" fontId="21" fillId="0" borderId="0" xfId="1" applyFont="1" applyAlignment="1">
      <alignment vertical="center"/>
    </xf>
    <xf numFmtId="0" fontId="21" fillId="0" borderId="0" xfId="0" quotePrefix="1" applyFont="1" applyAlignment="1">
      <alignment vertical="center"/>
    </xf>
    <xf numFmtId="0" fontId="22" fillId="0" borderId="0" xfId="0" applyFont="1" applyAlignment="1">
      <alignment vertical="center"/>
    </xf>
    <xf numFmtId="14" fontId="25" fillId="0" borderId="0" xfId="0" applyNumberFormat="1" applyFont="1" applyAlignment="1">
      <alignment horizontal="right" vertical="center"/>
    </xf>
    <xf numFmtId="14" fontId="26" fillId="0" borderId="0" xfId="0" applyNumberFormat="1" applyFont="1" applyAlignment="1">
      <alignment vertical="top" wrapText="1"/>
    </xf>
    <xf numFmtId="164" fontId="23" fillId="0" borderId="0" xfId="0" quotePrefix="1" applyNumberFormat="1" applyFont="1" applyAlignment="1">
      <alignment horizontal="right" vertical="center"/>
    </xf>
    <xf numFmtId="0" fontId="23" fillId="0" borderId="0" xfId="0" quotePrefix="1" applyFont="1" applyAlignment="1">
      <alignment horizontal="right"/>
    </xf>
    <xf numFmtId="0" fontId="21" fillId="0" borderId="0" xfId="0" quotePrefix="1" applyFont="1" applyAlignment="1">
      <alignment horizontal="right"/>
    </xf>
    <xf numFmtId="164" fontId="21" fillId="0" borderId="0" xfId="0" quotePrefix="1" applyNumberFormat="1" applyFont="1" applyAlignment="1">
      <alignment horizontal="right"/>
    </xf>
    <xf numFmtId="164" fontId="23" fillId="0" borderId="0" xfId="0" quotePrefix="1" applyNumberFormat="1" applyFont="1" applyAlignment="1">
      <alignment horizontal="right"/>
    </xf>
    <xf numFmtId="0" fontId="21" fillId="0" borderId="0" xfId="0" applyFont="1" applyAlignment="1">
      <alignment wrapText="1"/>
    </xf>
    <xf numFmtId="0" fontId="21" fillId="0" borderId="0" xfId="0" applyFont="1" applyAlignment="1">
      <alignment vertical="center" wrapText="1"/>
    </xf>
    <xf numFmtId="0" fontId="23" fillId="0" borderId="0" xfId="0" applyFont="1" applyAlignment="1">
      <alignment horizontal="left"/>
    </xf>
    <xf numFmtId="0" fontId="31" fillId="0" borderId="0" xfId="0" applyFont="1" applyAlignment="1">
      <alignment horizontal="left" vertical="center"/>
    </xf>
    <xf numFmtId="0" fontId="21" fillId="0" borderId="0" xfId="0" quotePrefix="1" applyFont="1"/>
    <xf numFmtId="171" fontId="21" fillId="0" borderId="0" xfId="0" applyNumberFormat="1" applyFont="1" applyAlignment="1">
      <alignment horizontal="right"/>
    </xf>
    <xf numFmtId="0" fontId="23" fillId="0" borderId="0" xfId="0" applyFont="1" applyAlignment="1">
      <alignment horizontal="right"/>
    </xf>
    <xf numFmtId="164" fontId="25" fillId="0" borderId="0" xfId="0" applyNumberFormat="1" applyFont="1" applyAlignment="1">
      <alignment horizontal="right"/>
    </xf>
    <xf numFmtId="0" fontId="21" fillId="0" borderId="0" xfId="0" quotePrefix="1" applyFont="1" applyAlignment="1">
      <alignment horizontal="left" wrapText="1"/>
    </xf>
    <xf numFmtId="165" fontId="23" fillId="0" borderId="0" xfId="0" quotePrefix="1" applyNumberFormat="1" applyFont="1" applyAlignment="1">
      <alignment horizontal="right"/>
    </xf>
    <xf numFmtId="0" fontId="21" fillId="0" borderId="1" xfId="0" quotePrefix="1" applyFont="1" applyBorder="1" applyAlignment="1">
      <alignment vertical="center"/>
    </xf>
    <xf numFmtId="0" fontId="21" fillId="0" borderId="16" xfId="0" applyFont="1" applyBorder="1" applyAlignment="1">
      <alignment horizontal="left" vertical="center"/>
    </xf>
    <xf numFmtId="14" fontId="40" fillId="4" borderId="2" xfId="0" applyNumberFormat="1" applyFont="1" applyFill="1" applyBorder="1" applyAlignment="1" applyProtection="1">
      <alignment horizontal="right" vertical="center"/>
      <protection locked="0"/>
    </xf>
    <xf numFmtId="0" fontId="21" fillId="0" borderId="3" xfId="0" quotePrefix="1" applyFont="1" applyBorder="1" applyAlignment="1">
      <alignment vertical="center"/>
    </xf>
    <xf numFmtId="0" fontId="28" fillId="0" borderId="4" xfId="0" applyFont="1" applyBorder="1" applyAlignment="1">
      <alignment horizontal="right" vertical="center"/>
    </xf>
    <xf numFmtId="0" fontId="21" fillId="0" borderId="3" xfId="0" applyFont="1" applyBorder="1" applyAlignment="1">
      <alignment vertical="center"/>
    </xf>
    <xf numFmtId="0" fontId="40" fillId="4" borderId="4" xfId="0" applyFont="1" applyFill="1" applyBorder="1" applyAlignment="1" applyProtection="1">
      <alignment horizontal="right" vertical="center"/>
      <protection locked="0"/>
    </xf>
    <xf numFmtId="14" fontId="40" fillId="4" borderId="4" xfId="0" applyNumberFormat="1" applyFont="1" applyFill="1" applyBorder="1" applyAlignment="1" applyProtection="1">
      <alignment horizontal="right" vertical="center"/>
      <protection locked="0"/>
    </xf>
    <xf numFmtId="171" fontId="21" fillId="0" borderId="4" xfId="0" applyNumberFormat="1" applyFont="1" applyBorder="1" applyAlignment="1">
      <alignment horizontal="right" vertical="center"/>
    </xf>
    <xf numFmtId="0" fontId="21" fillId="0" borderId="3" xfId="0" quotePrefix="1" applyFont="1" applyBorder="1" applyAlignment="1">
      <alignment vertical="top"/>
    </xf>
    <xf numFmtId="0" fontId="27" fillId="0" borderId="4" xfId="0" applyFont="1" applyBorder="1" applyAlignment="1">
      <alignment horizontal="left" vertical="center"/>
    </xf>
    <xf numFmtId="0" fontId="21" fillId="0" borderId="3" xfId="0" applyFont="1" applyBorder="1" applyAlignment="1">
      <alignment vertical="top"/>
    </xf>
    <xf numFmtId="1" fontId="40" fillId="4" borderId="4" xfId="0" applyNumberFormat="1" applyFont="1" applyFill="1" applyBorder="1" applyAlignment="1" applyProtection="1">
      <alignment horizontal="right" vertical="top"/>
      <protection locked="0"/>
    </xf>
    <xf numFmtId="1" fontId="40" fillId="4" borderId="4" xfId="0" applyNumberFormat="1" applyFont="1" applyFill="1" applyBorder="1" applyAlignment="1" applyProtection="1">
      <alignment horizontal="right" vertical="center"/>
      <protection locked="0"/>
    </xf>
    <xf numFmtId="0" fontId="23" fillId="0" borderId="4" xfId="0" applyFont="1" applyBorder="1" applyAlignment="1">
      <alignment horizontal="right" vertical="center"/>
    </xf>
    <xf numFmtId="0" fontId="21" fillId="0" borderId="0" xfId="0" quotePrefix="1" applyFont="1" applyAlignment="1">
      <alignment vertical="top"/>
    </xf>
    <xf numFmtId="1" fontId="21" fillId="0" borderId="4" xfId="0" applyNumberFormat="1" applyFont="1" applyBorder="1" applyAlignment="1">
      <alignment horizontal="right" vertical="top"/>
    </xf>
    <xf numFmtId="1" fontId="21" fillId="0" borderId="4" xfId="0" applyNumberFormat="1" applyFont="1" applyBorder="1" applyAlignment="1">
      <alignment horizontal="right" vertical="center"/>
    </xf>
    <xf numFmtId="164" fontId="40" fillId="4" borderId="4" xfId="0" applyNumberFormat="1" applyFont="1" applyFill="1" applyBorder="1" applyAlignment="1" applyProtection="1">
      <alignment horizontal="right" vertical="center"/>
      <protection locked="0"/>
    </xf>
    <xf numFmtId="0" fontId="21" fillId="0" borderId="5" xfId="0" quotePrefix="1" applyFont="1" applyBorder="1" applyAlignment="1">
      <alignment horizontal="left" vertical="top"/>
    </xf>
    <xf numFmtId="164" fontId="21" fillId="0" borderId="6" xfId="0" quotePrefix="1" applyNumberFormat="1" applyFont="1" applyBorder="1" applyAlignment="1">
      <alignment horizontal="right" vertical="center"/>
    </xf>
    <xf numFmtId="0" fontId="21" fillId="0" borderId="1" xfId="0" quotePrefix="1" applyFont="1" applyBorder="1" applyAlignment="1">
      <alignment horizontal="right" vertical="center"/>
    </xf>
    <xf numFmtId="0" fontId="21" fillId="0" borderId="3" xfId="0" quotePrefix="1" applyFont="1" applyBorder="1" applyAlignment="1">
      <alignment horizontal="right" vertical="center"/>
    </xf>
    <xf numFmtId="0" fontId="21" fillId="0" borderId="4" xfId="0" applyFont="1" applyBorder="1" applyAlignment="1">
      <alignment horizontal="right" vertical="center"/>
    </xf>
    <xf numFmtId="0" fontId="21" fillId="0" borderId="3" xfId="0" quotePrefix="1" applyFont="1" applyBorder="1" applyAlignment="1">
      <alignment horizontal="right" vertical="top"/>
    </xf>
    <xf numFmtId="0" fontId="21" fillId="0" borderId="5" xfId="0" quotePrefix="1" applyFont="1" applyBorder="1" applyAlignment="1">
      <alignment horizontal="right" vertical="top"/>
    </xf>
    <xf numFmtId="0" fontId="48" fillId="0" borderId="0" xfId="0" applyFont="1" applyAlignment="1">
      <alignment horizontal="left" vertical="center"/>
    </xf>
    <xf numFmtId="0" fontId="0" fillId="15" borderId="3" xfId="0" quotePrefix="1" applyFill="1" applyBorder="1" applyAlignment="1">
      <alignment horizontal="right" vertical="top" wrapText="1"/>
    </xf>
    <xf numFmtId="0" fontId="41" fillId="0" borderId="0" xfId="1" quotePrefix="1" applyFont="1" applyAlignment="1">
      <alignment vertical="center" wrapText="1"/>
    </xf>
    <xf numFmtId="0" fontId="49" fillId="0" borderId="0" xfId="0" applyFont="1"/>
    <xf numFmtId="0" fontId="15" fillId="0" borderId="0" xfId="0" quotePrefix="1" applyFont="1" applyAlignment="1">
      <alignment horizontal="left"/>
    </xf>
    <xf numFmtId="0" fontId="15" fillId="0" borderId="0" xfId="0" applyFont="1"/>
    <xf numFmtId="0" fontId="4" fillId="0" borderId="0" xfId="6" applyFont="1" applyAlignment="1">
      <alignment horizontal="center" wrapText="1"/>
    </xf>
    <xf numFmtId="171" fontId="7" fillId="0" borderId="0" xfId="6" applyNumberFormat="1" applyFont="1" applyAlignment="1">
      <alignment horizontal="center"/>
    </xf>
    <xf numFmtId="171" fontId="19" fillId="0" borderId="0" xfId="6" applyNumberFormat="1" applyFont="1" applyAlignment="1">
      <alignment horizontal="center"/>
    </xf>
    <xf numFmtId="170" fontId="9" fillId="0" borderId="0" xfId="0" applyNumberFormat="1" applyFont="1"/>
    <xf numFmtId="170" fontId="9" fillId="0" borderId="0" xfId="0" applyNumberFormat="1" applyFont="1" applyAlignment="1">
      <alignment horizontal="right"/>
    </xf>
    <xf numFmtId="0" fontId="43" fillId="13" borderId="0" xfId="1" applyFont="1" applyFill="1" applyProtection="1">
      <protection locked="0"/>
    </xf>
    <xf numFmtId="0" fontId="9" fillId="0" borderId="0" xfId="1" applyProtection="1">
      <protection locked="0"/>
    </xf>
    <xf numFmtId="166" fontId="9" fillId="0" borderId="0" xfId="1" applyNumberFormat="1" applyProtection="1">
      <protection locked="0"/>
    </xf>
    <xf numFmtId="0" fontId="4" fillId="5" borderId="0" xfId="6" applyFont="1" applyFill="1" applyAlignment="1">
      <alignment horizontal="left"/>
    </xf>
    <xf numFmtId="0" fontId="52" fillId="0" borderId="0" xfId="12" applyFont="1"/>
    <xf numFmtId="0" fontId="52" fillId="0" borderId="0" xfId="12" applyFont="1" applyAlignment="1">
      <alignment vertical="center"/>
    </xf>
    <xf numFmtId="0" fontId="4" fillId="0" borderId="0" xfId="12" applyFont="1" applyAlignment="1">
      <alignment horizontal="center" vertical="center" wrapText="1"/>
    </xf>
    <xf numFmtId="0" fontId="4" fillId="0" borderId="0" xfId="12" applyFont="1" applyAlignment="1">
      <alignment vertical="center" wrapText="1"/>
    </xf>
    <xf numFmtId="176" fontId="4" fillId="0" borderId="18" xfId="12" applyNumberFormat="1" applyFont="1" applyBorder="1" applyAlignment="1">
      <alignment horizontal="center"/>
    </xf>
    <xf numFmtId="176" fontId="4" fillId="0" borderId="19" xfId="12" applyNumberFormat="1" applyFont="1" applyBorder="1" applyAlignment="1">
      <alignment horizontal="center"/>
    </xf>
    <xf numFmtId="176" fontId="4" fillId="0" borderId="20" xfId="12" applyNumberFormat="1" applyFont="1" applyBorder="1" applyAlignment="1">
      <alignment horizontal="center"/>
    </xf>
    <xf numFmtId="0" fontId="52" fillId="0" borderId="0" xfId="12" applyFont="1" applyAlignment="1">
      <alignment horizontal="center"/>
    </xf>
    <xf numFmtId="14" fontId="7" fillId="2" borderId="12" xfId="12" quotePrefix="1" applyNumberFormat="1" applyFont="1" applyFill="1" applyBorder="1" applyAlignment="1">
      <alignment horizontal="center" vertical="center"/>
    </xf>
    <xf numFmtId="0" fontId="7" fillId="2" borderId="12" xfId="12" applyFont="1" applyFill="1" applyBorder="1" applyAlignment="1">
      <alignment horizontal="center" vertical="center" wrapText="1"/>
    </xf>
    <xf numFmtId="0" fontId="53" fillId="16" borderId="12" xfId="12" applyFont="1" applyFill="1" applyBorder="1" applyAlignment="1">
      <alignment horizontal="center" vertical="center" wrapText="1"/>
    </xf>
    <xf numFmtId="0" fontId="54" fillId="0" borderId="0" xfId="12" applyFont="1" applyAlignment="1">
      <alignment wrapText="1"/>
    </xf>
    <xf numFmtId="0" fontId="55" fillId="0" borderId="0" xfId="12" applyFont="1" applyAlignment="1">
      <alignment vertical="center" wrapText="1"/>
    </xf>
    <xf numFmtId="0" fontId="58" fillId="0" borderId="0" xfId="12" applyFont="1" applyAlignment="1">
      <alignment vertical="center"/>
    </xf>
    <xf numFmtId="0" fontId="59" fillId="0" borderId="0" xfId="12" applyFont="1" applyAlignment="1">
      <alignment vertical="center"/>
    </xf>
    <xf numFmtId="0" fontId="3" fillId="0" borderId="0" xfId="12"/>
    <xf numFmtId="0" fontId="60" fillId="0" borderId="3" xfId="12" applyFont="1" applyBorder="1" applyAlignment="1">
      <alignment horizontal="center" vertical="center"/>
    </xf>
    <xf numFmtId="0" fontId="60" fillId="0" borderId="3" xfId="12" applyFont="1" applyBorder="1" applyAlignment="1">
      <alignment horizontal="center" vertical="center" wrapText="1"/>
    </xf>
    <xf numFmtId="0" fontId="60" fillId="0" borderId="5" xfId="12" applyFont="1" applyBorder="1" applyAlignment="1">
      <alignment horizontal="center" vertical="center" wrapText="1"/>
    </xf>
    <xf numFmtId="10" fontId="52" fillId="0" borderId="0" xfId="11" applyNumberFormat="1" applyFont="1"/>
    <xf numFmtId="173" fontId="9" fillId="0" borderId="0" xfId="10" applyNumberFormat="1" applyFont="1" applyAlignment="1">
      <alignment horizontal="left" vertical="center"/>
    </xf>
    <xf numFmtId="0" fontId="34" fillId="12" borderId="0" xfId="0" applyFont="1" applyFill="1" applyAlignment="1">
      <alignment horizontal="centerContinuous" wrapText="1"/>
    </xf>
    <xf numFmtId="0" fontId="62" fillId="12" borderId="0" xfId="0" applyFont="1" applyFill="1" applyAlignment="1">
      <alignment horizontal="centerContinuous" wrapText="1"/>
    </xf>
    <xf numFmtId="0" fontId="43" fillId="0" borderId="0" xfId="1" applyFont="1" applyAlignment="1" applyProtection="1">
      <alignment wrapText="1"/>
      <protection locked="0"/>
    </xf>
    <xf numFmtId="0" fontId="33" fillId="0" borderId="0" xfId="12" applyFont="1"/>
    <xf numFmtId="0" fontId="33" fillId="4" borderId="20" xfId="12" applyFont="1" applyFill="1" applyBorder="1"/>
    <xf numFmtId="0" fontId="12" fillId="4" borderId="18" xfId="2" applyFill="1" applyBorder="1"/>
    <xf numFmtId="0" fontId="61" fillId="4" borderId="13" xfId="12" applyFont="1" applyFill="1" applyBorder="1" applyAlignment="1">
      <alignment horizontal="center" vertical="center"/>
    </xf>
    <xf numFmtId="0" fontId="61" fillId="4" borderId="22" xfId="12" applyFont="1" applyFill="1" applyBorder="1" applyAlignment="1">
      <alignment horizontal="center" vertical="center"/>
    </xf>
    <xf numFmtId="177" fontId="60" fillId="0" borderId="23" xfId="12" applyNumberFormat="1" applyFont="1" applyBorder="1" applyAlignment="1">
      <alignment horizontal="center" vertical="center"/>
    </xf>
    <xf numFmtId="177" fontId="60" fillId="0" borderId="23" xfId="12" applyNumberFormat="1" applyFont="1" applyBorder="1" applyAlignment="1">
      <alignment horizontal="center" vertical="center" wrapText="1"/>
    </xf>
    <xf numFmtId="177" fontId="60" fillId="0" borderId="21" xfId="12" applyNumberFormat="1" applyFont="1" applyBorder="1" applyAlignment="1">
      <alignment horizontal="center" vertical="center" wrapText="1"/>
    </xf>
    <xf numFmtId="175" fontId="8" fillId="0" borderId="0" xfId="13" quotePrefix="1" applyNumberFormat="1" applyFont="1" applyFill="1" applyBorder="1" applyAlignment="1">
      <alignment vertical="center" wrapText="1"/>
    </xf>
    <xf numFmtId="0" fontId="57" fillId="4" borderId="24" xfId="12" applyFont="1" applyFill="1" applyBorder="1" applyAlignment="1">
      <alignment horizontal="left" vertical="center"/>
    </xf>
    <xf numFmtId="0" fontId="52" fillId="4" borderId="25" xfId="12" applyFont="1" applyFill="1" applyBorder="1" applyAlignment="1">
      <alignment horizontal="center" vertical="center"/>
    </xf>
    <xf numFmtId="0" fontId="52" fillId="4" borderId="26" xfId="12" applyFont="1" applyFill="1" applyBorder="1" applyAlignment="1">
      <alignment horizontal="center" vertical="center"/>
    </xf>
    <xf numFmtId="0" fontId="12" fillId="4" borderId="28" xfId="2" applyFill="1" applyBorder="1" applyAlignment="1">
      <alignment horizontal="left" vertical="center"/>
    </xf>
    <xf numFmtId="0" fontId="52" fillId="4" borderId="29" xfId="12" applyFont="1" applyFill="1" applyBorder="1" applyAlignment="1">
      <alignment horizontal="center" vertical="center"/>
    </xf>
    <xf numFmtId="0" fontId="52" fillId="4" borderId="30" xfId="12" applyFont="1" applyFill="1" applyBorder="1" applyAlignment="1">
      <alignment horizontal="center" vertical="center"/>
    </xf>
    <xf numFmtId="0" fontId="9" fillId="0" borderId="0" xfId="1" applyAlignment="1" applyProtection="1">
      <alignment horizontal="center"/>
      <protection locked="0"/>
    </xf>
    <xf numFmtId="178" fontId="7" fillId="0" borderId="0" xfId="1" applyNumberFormat="1" applyFont="1"/>
    <xf numFmtId="0" fontId="9" fillId="0" borderId="0" xfId="5" applyAlignment="1">
      <alignment horizontal="center"/>
    </xf>
    <xf numFmtId="0" fontId="7" fillId="14" borderId="0" xfId="1" applyFont="1" applyFill="1" applyProtection="1">
      <protection locked="0"/>
    </xf>
    <xf numFmtId="166" fontId="7" fillId="14" borderId="0" xfId="1" applyNumberFormat="1" applyFont="1" applyFill="1" applyProtection="1">
      <protection locked="0"/>
    </xf>
    <xf numFmtId="178" fontId="9" fillId="0" borderId="0" xfId="1" applyNumberFormat="1" applyAlignment="1" applyProtection="1">
      <alignment horizontal="center"/>
      <protection locked="0"/>
    </xf>
    <xf numFmtId="178" fontId="7" fillId="0" borderId="0" xfId="1" applyNumberFormat="1" applyFont="1" applyAlignment="1" applyProtection="1">
      <alignment horizontal="center"/>
      <protection locked="0"/>
    </xf>
    <xf numFmtId="170" fontId="9" fillId="0" borderId="0" xfId="1" applyNumberFormat="1" applyAlignment="1" applyProtection="1">
      <alignment horizontal="center"/>
      <protection locked="0"/>
    </xf>
    <xf numFmtId="170" fontId="7" fillId="0" borderId="0" xfId="1" applyNumberFormat="1" applyFont="1" applyAlignment="1" applyProtection="1">
      <alignment horizontal="center"/>
      <protection locked="0"/>
    </xf>
    <xf numFmtId="179" fontId="9" fillId="0" borderId="0" xfId="1" applyNumberFormat="1" applyAlignment="1" applyProtection="1">
      <alignment horizontal="center"/>
      <protection locked="0"/>
    </xf>
    <xf numFmtId="179" fontId="9" fillId="3" borderId="22" xfId="1" applyNumberFormat="1" applyFill="1" applyBorder="1" applyAlignment="1" applyProtection="1">
      <alignment horizontal="center"/>
      <protection locked="0"/>
    </xf>
    <xf numFmtId="179" fontId="7" fillId="14" borderId="0" xfId="1" applyNumberFormat="1" applyFont="1" applyFill="1" applyAlignment="1" applyProtection="1">
      <alignment horizontal="center"/>
      <protection locked="0"/>
    </xf>
    <xf numFmtId="179" fontId="9" fillId="0" borderId="0" xfId="1" applyNumberFormat="1"/>
    <xf numFmtId="166" fontId="9" fillId="10" borderId="0" xfId="5" applyNumberFormat="1" applyFill="1"/>
    <xf numFmtId="166" fontId="9" fillId="10" borderId="0" xfId="5" quotePrefix="1" applyNumberFormat="1" applyFill="1" applyAlignment="1">
      <alignment horizontal="center"/>
    </xf>
    <xf numFmtId="175" fontId="9" fillId="0" borderId="0" xfId="11" applyNumberFormat="1" applyFont="1"/>
    <xf numFmtId="0" fontId="9" fillId="0" borderId="0" xfId="1" quotePrefix="1" applyAlignment="1">
      <alignment horizontal="left"/>
    </xf>
    <xf numFmtId="175" fontId="43" fillId="0" borderId="0" xfId="1" applyNumberFormat="1" applyFont="1" applyAlignment="1" applyProtection="1">
      <alignment wrapText="1"/>
      <protection locked="0"/>
    </xf>
    <xf numFmtId="0" fontId="51" fillId="0" borderId="0" xfId="1" applyFont="1" applyAlignment="1">
      <alignment horizontal="center"/>
    </xf>
    <xf numFmtId="0" fontId="45" fillId="0" borderId="0" xfId="1" applyFont="1"/>
    <xf numFmtId="166" fontId="7" fillId="3" borderId="0" xfId="5" quotePrefix="1" applyNumberFormat="1" applyFont="1" applyFill="1" applyAlignment="1">
      <alignment horizontal="center"/>
    </xf>
    <xf numFmtId="0" fontId="17" fillId="5" borderId="0" xfId="6" quotePrefix="1" applyFont="1" applyFill="1" applyAlignment="1">
      <alignment horizontal="center"/>
    </xf>
    <xf numFmtId="170" fontId="17" fillId="5" borderId="0" xfId="6" applyNumberFormat="1" applyFont="1" applyFill="1" applyAlignment="1">
      <alignment horizontal="center"/>
    </xf>
    <xf numFmtId="166" fontId="7" fillId="5" borderId="0" xfId="5" quotePrefix="1" applyNumberFormat="1" applyFont="1" applyFill="1" applyAlignment="1">
      <alignment horizontal="center"/>
    </xf>
    <xf numFmtId="0" fontId="7" fillId="0" borderId="0" xfId="5" applyFont="1"/>
    <xf numFmtId="170" fontId="63" fillId="5" borderId="0" xfId="0" applyNumberFormat="1" applyFont="1" applyFill="1"/>
    <xf numFmtId="175" fontId="9" fillId="0" borderId="0" xfId="11" applyNumberFormat="1" applyFont="1" applyAlignment="1">
      <alignment horizontal="center"/>
    </xf>
    <xf numFmtId="0" fontId="7" fillId="3" borderId="0" xfId="5" applyFont="1" applyFill="1" applyAlignment="1">
      <alignment horizontal="center"/>
    </xf>
    <xf numFmtId="166" fontId="7" fillId="10" borderId="0" xfId="5" quotePrefix="1" applyNumberFormat="1" applyFont="1" applyFill="1" applyAlignment="1">
      <alignment horizontal="center"/>
    </xf>
    <xf numFmtId="166" fontId="9" fillId="10" borderId="0" xfId="1" applyNumberFormat="1" applyFill="1"/>
    <xf numFmtId="166" fontId="9" fillId="0" borderId="0" xfId="1" applyNumberFormat="1" applyAlignment="1">
      <alignment horizontal="center"/>
    </xf>
    <xf numFmtId="166" fontId="7" fillId="3" borderId="0" xfId="5" quotePrefix="1" applyNumberFormat="1" applyFont="1" applyFill="1" applyAlignment="1">
      <alignment wrapText="1"/>
    </xf>
    <xf numFmtId="0" fontId="17" fillId="4" borderId="1" xfId="6" quotePrefix="1" applyFont="1" applyFill="1" applyBorder="1" applyAlignment="1">
      <alignment horizontal="left"/>
    </xf>
    <xf numFmtId="170" fontId="17" fillId="4" borderId="3" xfId="6" applyNumberFormat="1" applyFont="1" applyFill="1" applyBorder="1" applyAlignment="1">
      <alignment horizontal="left"/>
    </xf>
    <xf numFmtId="166" fontId="7" fillId="7" borderId="3" xfId="5" quotePrefix="1" applyNumberFormat="1" applyFont="1" applyFill="1" applyBorder="1" applyAlignment="1">
      <alignment horizontal="center"/>
    </xf>
    <xf numFmtId="166" fontId="7" fillId="9" borderId="4" xfId="5" quotePrefix="1" applyNumberFormat="1" applyFont="1" applyFill="1" applyBorder="1" applyAlignment="1">
      <alignment horizontal="center"/>
    </xf>
    <xf numFmtId="170" fontId="67" fillId="9" borderId="5" xfId="6" applyNumberFormat="1" applyFont="1" applyFill="1" applyBorder="1" applyAlignment="1">
      <alignment horizontal="center" vertical="center" wrapText="1"/>
    </xf>
    <xf numFmtId="171" fontId="9" fillId="0" borderId="0" xfId="0" applyNumberFormat="1" applyFont="1"/>
    <xf numFmtId="179" fontId="0" fillId="0" borderId="0" xfId="0" applyNumberFormat="1"/>
    <xf numFmtId="166" fontId="9" fillId="0" borderId="0" xfId="5" quotePrefix="1" applyNumberFormat="1" applyAlignment="1">
      <alignment horizontal="center"/>
    </xf>
    <xf numFmtId="43" fontId="23" fillId="0" borderId="0" xfId="10" applyFont="1" applyAlignment="1">
      <alignment horizontal="right" vertical="center"/>
    </xf>
    <xf numFmtId="43" fontId="0" fillId="0" borderId="0" xfId="10" applyFont="1"/>
    <xf numFmtId="180" fontId="9" fillId="0" borderId="0" xfId="1" applyNumberFormat="1"/>
    <xf numFmtId="166" fontId="7" fillId="0" borderId="0" xfId="5" quotePrefix="1" applyNumberFormat="1" applyFont="1" applyAlignment="1">
      <alignment horizontal="center" wrapText="1"/>
    </xf>
    <xf numFmtId="0" fontId="9" fillId="3" borderId="0" xfId="5" applyFill="1"/>
    <xf numFmtId="0" fontId="52" fillId="0" borderId="0" xfId="12" applyFont="1" applyAlignment="1">
      <alignment horizontal="left"/>
    </xf>
    <xf numFmtId="175" fontId="52" fillId="0" borderId="0" xfId="11" applyNumberFormat="1" applyFont="1"/>
    <xf numFmtId="168" fontId="0" fillId="0" borderId="0" xfId="10" applyNumberFormat="1" applyFont="1" applyFill="1"/>
    <xf numFmtId="174" fontId="9" fillId="0" borderId="0" xfId="10" applyNumberFormat="1" applyFont="1" applyFill="1"/>
    <xf numFmtId="168" fontId="9" fillId="0" borderId="0" xfId="10" applyNumberFormat="1" applyFont="1" applyFill="1"/>
    <xf numFmtId="0" fontId="9" fillId="0" borderId="0" xfId="0" applyFont="1" applyAlignment="1">
      <alignment horizontal="center"/>
    </xf>
    <xf numFmtId="0" fontId="0" fillId="0" borderId="0" xfId="0" quotePrefix="1" applyAlignment="1">
      <alignment horizontal="center"/>
    </xf>
    <xf numFmtId="174" fontId="9" fillId="0" borderId="0" xfId="10" quotePrefix="1" applyNumberFormat="1" applyFont="1" applyFill="1" applyAlignment="1">
      <alignment horizontal="center"/>
    </xf>
    <xf numFmtId="0" fontId="9" fillId="0" borderId="0" xfId="1" quotePrefix="1" applyAlignment="1">
      <alignment horizontal="center"/>
    </xf>
    <xf numFmtId="178" fontId="0" fillId="0" borderId="0" xfId="0" applyNumberFormat="1" applyAlignment="1">
      <alignment horizontal="center"/>
    </xf>
    <xf numFmtId="170" fontId="0" fillId="0" borderId="0" xfId="0" applyNumberFormat="1" applyAlignment="1">
      <alignment horizontal="center"/>
    </xf>
    <xf numFmtId="10" fontId="9" fillId="0" borderId="0" xfId="11" applyNumberFormat="1" applyFont="1" applyFill="1"/>
    <xf numFmtId="174" fontId="9" fillId="0" borderId="0" xfId="1" applyNumberFormat="1"/>
    <xf numFmtId="168" fontId="9" fillId="0" borderId="0" xfId="10" applyNumberFormat="1" applyFont="1" applyFill="1" applyAlignment="1">
      <alignment horizontal="center"/>
    </xf>
    <xf numFmtId="179" fontId="9" fillId="0" borderId="0" xfId="1" applyNumberFormat="1" applyAlignment="1">
      <alignment horizontal="center"/>
    </xf>
    <xf numFmtId="10" fontId="9" fillId="0" borderId="0" xfId="11" applyNumberFormat="1" applyFont="1" applyFill="1" applyAlignment="1">
      <alignment horizontal="center"/>
    </xf>
    <xf numFmtId="171" fontId="71" fillId="0" borderId="0" xfId="0" applyNumberFormat="1" applyFont="1" applyAlignment="1">
      <alignment horizontal="right" vertical="top" shrinkToFit="1"/>
    </xf>
    <xf numFmtId="10" fontId="11" fillId="0" borderId="0" xfId="3" applyNumberFormat="1" applyFont="1" applyFill="1" applyAlignment="1">
      <alignment horizontal="right"/>
    </xf>
    <xf numFmtId="0" fontId="72" fillId="0" borderId="0" xfId="0" applyFont="1" applyAlignment="1">
      <alignment horizontal="right" vertical="top" wrapText="1"/>
    </xf>
    <xf numFmtId="43" fontId="9" fillId="0" borderId="0" xfId="1" applyNumberFormat="1"/>
    <xf numFmtId="169" fontId="9" fillId="0" borderId="0" xfId="1" applyNumberFormat="1"/>
    <xf numFmtId="167" fontId="9" fillId="0" borderId="0" xfId="1" applyNumberFormat="1"/>
    <xf numFmtId="14" fontId="74" fillId="0" borderId="0" xfId="0" applyNumberFormat="1" applyFont="1" applyAlignment="1">
      <alignment vertical="center" wrapText="1"/>
    </xf>
    <xf numFmtId="14" fontId="74" fillId="0" borderId="0" xfId="0" applyNumberFormat="1" applyFont="1" applyAlignment="1">
      <alignment horizontal="left" vertical="top" wrapText="1"/>
    </xf>
    <xf numFmtId="10" fontId="8" fillId="0" borderId="19" xfId="13" applyNumberFormat="1" applyFont="1" applyBorder="1" applyAlignment="1">
      <alignment horizontal="center"/>
    </xf>
    <xf numFmtId="10" fontId="8" fillId="0" borderId="18" xfId="13" applyNumberFormat="1" applyFont="1" applyBorder="1" applyAlignment="1">
      <alignment horizontal="center"/>
    </xf>
    <xf numFmtId="0" fontId="57" fillId="3" borderId="24" xfId="12" applyFont="1" applyFill="1" applyBorder="1" applyAlignment="1">
      <alignment horizontal="left" vertical="center"/>
    </xf>
    <xf numFmtId="0" fontId="52" fillId="3" borderId="25" xfId="12" applyFont="1" applyFill="1" applyBorder="1" applyAlignment="1">
      <alignment horizontal="center" vertical="center"/>
    </xf>
    <xf numFmtId="0" fontId="52" fillId="3" borderId="26" xfId="12" applyFont="1" applyFill="1" applyBorder="1" applyAlignment="1">
      <alignment horizontal="center" vertical="center"/>
    </xf>
    <xf numFmtId="0" fontId="12" fillId="3" borderId="28" xfId="2" applyFill="1" applyBorder="1" applyAlignment="1">
      <alignment horizontal="left" vertical="center"/>
    </xf>
    <xf numFmtId="0" fontId="52" fillId="3" borderId="29" xfId="12" applyFont="1" applyFill="1" applyBorder="1" applyAlignment="1">
      <alignment horizontal="center" vertical="center"/>
    </xf>
    <xf numFmtId="0" fontId="52" fillId="3" borderId="30" xfId="12" applyFont="1" applyFill="1" applyBorder="1" applyAlignment="1">
      <alignment horizontal="center" vertical="center"/>
    </xf>
    <xf numFmtId="3" fontId="8" fillId="0" borderId="0" xfId="0" applyNumberFormat="1" applyFont="1" applyAlignment="1">
      <alignment horizontal="left" vertical="top" wrapText="1"/>
    </xf>
    <xf numFmtId="0" fontId="45" fillId="0" borderId="0" xfId="1" applyFont="1" applyAlignment="1">
      <alignment horizontal="center"/>
    </xf>
    <xf numFmtId="0" fontId="45" fillId="3" borderId="12" xfId="1" applyFont="1" applyFill="1" applyBorder="1" applyAlignment="1">
      <alignment horizontal="center"/>
    </xf>
    <xf numFmtId="0" fontId="73" fillId="17" borderId="0" xfId="12" applyFont="1" applyFill="1"/>
    <xf numFmtId="0" fontId="3" fillId="17" borderId="0" xfId="12" applyFill="1"/>
    <xf numFmtId="0" fontId="1" fillId="17" borderId="0" xfId="12" applyFont="1" applyFill="1"/>
    <xf numFmtId="0" fontId="44" fillId="2" borderId="12" xfId="12" applyFont="1" applyFill="1" applyBorder="1" applyAlignment="1">
      <alignment horizontal="center" vertical="center" wrapText="1"/>
    </xf>
    <xf numFmtId="0" fontId="12" fillId="17" borderId="0" xfId="2" applyFill="1"/>
    <xf numFmtId="0" fontId="46" fillId="14" borderId="12" xfId="1" applyFont="1" applyFill="1" applyBorder="1" applyAlignment="1">
      <alignment horizontal="center" vertical="center"/>
    </xf>
    <xf numFmtId="166" fontId="0" fillId="0" borderId="0" xfId="5" applyNumberFormat="1" applyFont="1"/>
    <xf numFmtId="0" fontId="0" fillId="0" borderId="0" xfId="5" applyFont="1"/>
    <xf numFmtId="0" fontId="9" fillId="6" borderId="31" xfId="5" applyFill="1" applyBorder="1"/>
    <xf numFmtId="0" fontId="9" fillId="6" borderId="23" xfId="5" applyFill="1" applyBorder="1"/>
    <xf numFmtId="0" fontId="9" fillId="6" borderId="23" xfId="1" applyFill="1" applyBorder="1"/>
    <xf numFmtId="166" fontId="9" fillId="6" borderId="23" xfId="5" quotePrefix="1" applyNumberFormat="1" applyFill="1" applyBorder="1" applyAlignment="1">
      <alignment horizontal="right"/>
    </xf>
    <xf numFmtId="1" fontId="9" fillId="6" borderId="23" xfId="5" applyNumberFormat="1" applyFill="1" applyBorder="1"/>
    <xf numFmtId="1" fontId="9" fillId="6" borderId="21" xfId="5" applyNumberFormat="1" applyFill="1" applyBorder="1"/>
    <xf numFmtId="0" fontId="0" fillId="6" borderId="31" xfId="5" applyFont="1" applyFill="1" applyBorder="1"/>
    <xf numFmtId="0" fontId="0" fillId="6" borderId="23" xfId="5" applyFont="1" applyFill="1" applyBorder="1"/>
    <xf numFmtId="0" fontId="0" fillId="6" borderId="23" xfId="1" applyFont="1" applyFill="1" applyBorder="1"/>
    <xf numFmtId="166" fontId="0" fillId="6" borderId="23" xfId="5" quotePrefix="1" applyNumberFormat="1" applyFont="1" applyFill="1" applyBorder="1" applyAlignment="1">
      <alignment horizontal="right"/>
    </xf>
    <xf numFmtId="1" fontId="0" fillId="6" borderId="23" xfId="5" applyNumberFormat="1" applyFont="1" applyFill="1" applyBorder="1"/>
    <xf numFmtId="1" fontId="0" fillId="6" borderId="21" xfId="5" applyNumberFormat="1" applyFont="1" applyFill="1" applyBorder="1"/>
    <xf numFmtId="0" fontId="0" fillId="6" borderId="23" xfId="1" quotePrefix="1" applyFont="1" applyFill="1" applyBorder="1"/>
    <xf numFmtId="166" fontId="0" fillId="6" borderId="23" xfId="5" applyNumberFormat="1" applyFont="1" applyFill="1" applyBorder="1" applyAlignment="1">
      <alignment horizontal="right"/>
    </xf>
    <xf numFmtId="166" fontId="9" fillId="9" borderId="4" xfId="5" quotePrefix="1" applyNumberFormat="1" applyFill="1" applyBorder="1" applyAlignment="1">
      <alignment horizontal="center"/>
    </xf>
    <xf numFmtId="166" fontId="9" fillId="7" borderId="3" xfId="5" quotePrefix="1" applyNumberFormat="1" applyFill="1" applyBorder="1" applyAlignment="1">
      <alignment horizontal="center"/>
    </xf>
    <xf numFmtId="170" fontId="9" fillId="7" borderId="3" xfId="1" applyNumberFormat="1" applyFill="1" applyBorder="1" applyAlignment="1">
      <alignment horizontal="center"/>
    </xf>
    <xf numFmtId="166" fontId="14" fillId="0" borderId="0" xfId="6" applyNumberFormat="1" applyFont="1"/>
    <xf numFmtId="0" fontId="75" fillId="13" borderId="0" xfId="1" applyFont="1" applyFill="1" applyProtection="1">
      <protection locked="0"/>
    </xf>
    <xf numFmtId="0" fontId="76" fillId="13" borderId="0" xfId="1" applyFont="1" applyFill="1" applyProtection="1">
      <protection locked="0"/>
    </xf>
    <xf numFmtId="168" fontId="0" fillId="0" borderId="0" xfId="10" applyNumberFormat="1" applyFont="1"/>
    <xf numFmtId="166" fontId="0" fillId="0" borderId="0" xfId="0" applyNumberFormat="1" applyAlignment="1">
      <alignment horizontal="right"/>
    </xf>
    <xf numFmtId="168" fontId="0" fillId="0" borderId="0" xfId="10" applyNumberFormat="1" applyFont="1" applyAlignment="1">
      <alignment horizontal="center"/>
    </xf>
    <xf numFmtId="180" fontId="0" fillId="0" borderId="0" xfId="1" applyNumberFormat="1" applyFont="1"/>
    <xf numFmtId="0" fontId="75" fillId="13" borderId="0" xfId="1" applyFont="1" applyFill="1" applyAlignment="1" applyProtection="1">
      <alignment horizontal="left" wrapText="1"/>
      <protection locked="0"/>
    </xf>
    <xf numFmtId="0" fontId="75" fillId="13" borderId="4" xfId="1" applyFont="1" applyFill="1" applyBorder="1" applyAlignment="1" applyProtection="1">
      <alignment horizontal="left" wrapText="1"/>
      <protection locked="0"/>
    </xf>
    <xf numFmtId="0" fontId="77" fillId="0" borderId="0" xfId="12" applyFont="1"/>
    <xf numFmtId="0" fontId="75" fillId="13" borderId="0" xfId="1" applyFont="1" applyFill="1" applyAlignment="1" applyProtection="1">
      <alignment horizontal="centerContinuous" wrapText="1"/>
      <protection locked="0"/>
    </xf>
    <xf numFmtId="0" fontId="75" fillId="13" borderId="4" xfId="1" applyFont="1" applyFill="1" applyBorder="1" applyAlignment="1" applyProtection="1">
      <alignment horizontal="centerContinuous" wrapText="1"/>
      <protection locked="0"/>
    </xf>
    <xf numFmtId="0" fontId="76" fillId="13" borderId="0" xfId="1" applyFont="1" applyFill="1" applyAlignment="1" applyProtection="1">
      <alignment horizontal="left"/>
      <protection locked="0"/>
    </xf>
    <xf numFmtId="0" fontId="76" fillId="13" borderId="4" xfId="1" applyFont="1" applyFill="1" applyBorder="1" applyAlignment="1" applyProtection="1">
      <alignment horizontal="left"/>
      <protection locked="0"/>
    </xf>
    <xf numFmtId="0" fontId="0" fillId="12" borderId="0" xfId="0" applyFill="1" applyAlignment="1">
      <alignment horizontal="left" vertical="top" wrapText="1"/>
    </xf>
    <xf numFmtId="0" fontId="21" fillId="0" borderId="0" xfId="0" quotePrefix="1" applyFont="1" applyAlignment="1">
      <alignment horizontal="left" vertical="top" wrapText="1"/>
    </xf>
    <xf numFmtId="0" fontId="78" fillId="0" borderId="0" xfId="12" applyFont="1" applyAlignment="1">
      <alignment horizontal="right"/>
    </xf>
    <xf numFmtId="4" fontId="21" fillId="0" borderId="0" xfId="10" applyNumberFormat="1" applyFont="1" applyAlignment="1" applyProtection="1">
      <alignment vertical="center"/>
    </xf>
    <xf numFmtId="3" fontId="8" fillId="0" borderId="0" xfId="0" applyNumberFormat="1" applyFont="1" applyAlignment="1">
      <alignment horizontal="left" vertical="center"/>
    </xf>
    <xf numFmtId="43" fontId="74" fillId="0" borderId="0" xfId="10" applyFont="1" applyFill="1" applyAlignment="1">
      <alignment vertical="center" wrapText="1"/>
    </xf>
    <xf numFmtId="1" fontId="79" fillId="6" borderId="23" xfId="5" applyNumberFormat="1" applyFont="1" applyFill="1" applyBorder="1"/>
    <xf numFmtId="1" fontId="79" fillId="6" borderId="21" xfId="5" applyNumberFormat="1" applyFont="1" applyFill="1" applyBorder="1"/>
    <xf numFmtId="0" fontId="79" fillId="6" borderId="23" xfId="1" applyFont="1" applyFill="1" applyBorder="1" applyAlignment="1">
      <alignment horizontal="right"/>
    </xf>
    <xf numFmtId="0" fontId="79" fillId="6" borderId="23" xfId="1" applyFont="1" applyFill="1" applyBorder="1"/>
    <xf numFmtId="166" fontId="7" fillId="10" borderId="0" xfId="5" quotePrefix="1" applyNumberFormat="1" applyFont="1" applyFill="1"/>
    <xf numFmtId="0" fontId="9" fillId="12" borderId="0" xfId="0" applyFont="1" applyFill="1" applyAlignment="1">
      <alignment horizontal="left" vertical="top" wrapText="1"/>
    </xf>
    <xf numFmtId="0" fontId="0" fillId="12" borderId="0" xfId="0" applyFill="1" applyAlignment="1">
      <alignment horizontal="left" vertical="top" wrapText="1"/>
    </xf>
    <xf numFmtId="0" fontId="9" fillId="15" borderId="0" xfId="0" applyFont="1" applyFill="1" applyAlignment="1">
      <alignment vertical="top" wrapText="1"/>
    </xf>
    <xf numFmtId="0" fontId="0" fillId="15" borderId="4" xfId="0" applyFill="1" applyBorder="1" applyAlignment="1">
      <alignment vertical="top" wrapText="1"/>
    </xf>
    <xf numFmtId="0" fontId="9" fillId="15" borderId="5" xfId="0" applyFont="1" applyFill="1" applyBorder="1" applyAlignment="1">
      <alignment horizontal="left" vertical="top" wrapText="1"/>
    </xf>
    <xf numFmtId="0" fontId="0" fillId="15" borderId="17" xfId="0" applyFill="1" applyBorder="1" applyAlignment="1">
      <alignment horizontal="left" vertical="top" wrapText="1"/>
    </xf>
    <xf numFmtId="0" fontId="0" fillId="15" borderId="6" xfId="0" applyFill="1" applyBorder="1" applyAlignment="1">
      <alignment horizontal="left" vertical="top" wrapText="1"/>
    </xf>
    <xf numFmtId="0" fontId="9" fillId="12" borderId="0" xfId="0" applyFont="1" applyFill="1" applyAlignment="1">
      <alignment vertical="top" wrapText="1"/>
    </xf>
    <xf numFmtId="0" fontId="0" fillId="12" borderId="0" xfId="0" applyFill="1" applyAlignment="1">
      <alignment vertical="top" wrapText="1"/>
    </xf>
    <xf numFmtId="0" fontId="33" fillId="15" borderId="1" xfId="0" applyFont="1" applyFill="1" applyBorder="1" applyAlignment="1">
      <alignment horizontal="center" vertical="center" wrapText="1"/>
    </xf>
    <xf numFmtId="0" fontId="33" fillId="15" borderId="16" xfId="0" applyFont="1" applyFill="1" applyBorder="1" applyAlignment="1">
      <alignment horizontal="center" vertical="center" wrapText="1"/>
    </xf>
    <xf numFmtId="0" fontId="33" fillId="15" borderId="2" xfId="0" applyFont="1" applyFill="1" applyBorder="1" applyAlignment="1">
      <alignment horizontal="center" vertical="center" wrapText="1"/>
    </xf>
    <xf numFmtId="0" fontId="0" fillId="15" borderId="0" xfId="0" applyFill="1" applyAlignment="1">
      <alignment vertical="top" wrapText="1"/>
    </xf>
    <xf numFmtId="0" fontId="36" fillId="12" borderId="0" xfId="0" applyFont="1" applyFill="1" applyAlignment="1">
      <alignment horizontal="left" vertical="top" wrapText="1"/>
    </xf>
    <xf numFmtId="0" fontId="7" fillId="12" borderId="0" xfId="0" applyFont="1" applyFill="1" applyAlignment="1">
      <alignment horizontal="left" vertical="top" wrapText="1"/>
    </xf>
    <xf numFmtId="0" fontId="35" fillId="12" borderId="0" xfId="0" applyFont="1" applyFill="1" applyAlignment="1">
      <alignment horizontal="left" vertical="top" wrapText="1"/>
    </xf>
    <xf numFmtId="0" fontId="9" fillId="12" borderId="0" xfId="0" quotePrefix="1" applyFont="1" applyFill="1" applyAlignment="1">
      <alignment horizontal="left" vertical="top" wrapText="1"/>
    </xf>
    <xf numFmtId="0" fontId="23" fillId="0" borderId="0" xfId="0" applyFont="1" applyAlignment="1">
      <alignment horizontal="center" wrapText="1"/>
    </xf>
    <xf numFmtId="0" fontId="26" fillId="0" borderId="0" xfId="0" applyFont="1" applyAlignment="1">
      <alignment horizontal="center" vertical="center"/>
    </xf>
    <xf numFmtId="0" fontId="23" fillId="0" borderId="0" xfId="0" applyFont="1" applyAlignment="1">
      <alignment horizontal="center" vertical="top" wrapText="1"/>
    </xf>
    <xf numFmtId="0" fontId="30" fillId="0" borderId="0" xfId="0" applyFont="1" applyAlignment="1">
      <alignment horizontal="center" wrapText="1"/>
    </xf>
    <xf numFmtId="0" fontId="21" fillId="11" borderId="13" xfId="0" applyFont="1" applyFill="1" applyBorder="1" applyAlignment="1">
      <alignment horizontal="left" vertical="center" wrapText="1"/>
    </xf>
    <xf numFmtId="0" fontId="21" fillId="11" borderId="14" xfId="0" applyFont="1" applyFill="1" applyBorder="1" applyAlignment="1">
      <alignment horizontal="left" vertical="center" wrapText="1"/>
    </xf>
    <xf numFmtId="0" fontId="21" fillId="11" borderId="15" xfId="0" applyFont="1" applyFill="1" applyBorder="1" applyAlignment="1">
      <alignment horizontal="left" vertical="center" wrapText="1"/>
    </xf>
    <xf numFmtId="0" fontId="21" fillId="0" borderId="17" xfId="0" quotePrefix="1" applyFont="1" applyBorder="1" applyAlignment="1">
      <alignment horizontal="left" vertical="top" wrapText="1"/>
    </xf>
    <xf numFmtId="0" fontId="21" fillId="0" borderId="0" xfId="0" applyFont="1" applyAlignment="1">
      <alignment horizontal="left" vertical="top" wrapText="1"/>
    </xf>
    <xf numFmtId="14" fontId="26" fillId="0" borderId="0" xfId="0" applyNumberFormat="1" applyFont="1" applyAlignment="1">
      <alignment horizontal="left" vertical="top"/>
    </xf>
    <xf numFmtId="0" fontId="41" fillId="0" borderId="0" xfId="0" applyFont="1" applyAlignment="1">
      <alignment vertical="center" wrapText="1"/>
    </xf>
    <xf numFmtId="0" fontId="25" fillId="0" borderId="0" xfId="0" quotePrefix="1" applyFont="1" applyAlignment="1">
      <alignment horizontal="left" wrapText="1"/>
    </xf>
    <xf numFmtId="0" fontId="21" fillId="0" borderId="0" xfId="0" quotePrefix="1" applyFont="1" applyAlignment="1">
      <alignment horizontal="left" vertical="top" wrapText="1"/>
    </xf>
    <xf numFmtId="166" fontId="7" fillId="3" borderId="4" xfId="5" quotePrefix="1" applyNumberFormat="1" applyFont="1" applyFill="1" applyBorder="1" applyAlignment="1">
      <alignment horizontal="center" wrapText="1"/>
    </xf>
    <xf numFmtId="166" fontId="7" fillId="3" borderId="0" xfId="5" quotePrefix="1" applyNumberFormat="1" applyFont="1" applyFill="1" applyAlignment="1">
      <alignment horizontal="center" wrapText="1"/>
    </xf>
    <xf numFmtId="166" fontId="9" fillId="0" borderId="29" xfId="1" applyNumberFormat="1" applyBorder="1" applyAlignment="1" applyProtection="1">
      <alignment horizontal="center"/>
      <protection locked="0"/>
    </xf>
    <xf numFmtId="0" fontId="41" fillId="0" borderId="0" xfId="0" quotePrefix="1" applyFont="1" applyAlignment="1">
      <alignment horizontal="left" vertical="center" wrapText="1"/>
    </xf>
    <xf numFmtId="0" fontId="0" fillId="0" borderId="0" xfId="0" quotePrefix="1" applyAlignment="1">
      <alignment horizontal="left" vertical="center" wrapText="1"/>
    </xf>
    <xf numFmtId="0" fontId="17" fillId="8" borderId="11" xfId="9" applyFont="1" applyFill="1" applyBorder="1" applyAlignment="1">
      <alignment horizontal="center" vertical="center" wrapText="1"/>
    </xf>
    <xf numFmtId="0" fontId="17" fillId="8" borderId="10" xfId="9" applyFont="1" applyFill="1" applyBorder="1" applyAlignment="1">
      <alignment horizontal="center" vertical="center" wrapText="1"/>
    </xf>
    <xf numFmtId="0" fontId="17" fillId="8" borderId="9" xfId="9" applyFont="1" applyFill="1" applyBorder="1" applyAlignment="1">
      <alignment horizontal="center" vertical="center" wrapText="1"/>
    </xf>
    <xf numFmtId="0" fontId="55" fillId="0" borderId="0" xfId="12" applyFont="1" applyAlignment="1">
      <alignment horizontal="left" vertical="top" wrapText="1"/>
    </xf>
    <xf numFmtId="0" fontId="4" fillId="0" borderId="0" xfId="12" applyFont="1" applyAlignment="1">
      <alignment horizontal="left" vertical="center" wrapText="1"/>
    </xf>
    <xf numFmtId="0" fontId="52" fillId="5" borderId="24" xfId="12" applyFont="1" applyFill="1" applyBorder="1" applyAlignment="1">
      <alignment horizontal="left" vertical="center" wrapText="1"/>
    </xf>
    <xf numFmtId="0" fontId="52" fillId="5" borderId="25" xfId="12" applyFont="1" applyFill="1" applyBorder="1" applyAlignment="1">
      <alignment horizontal="left" vertical="center" wrapText="1"/>
    </xf>
    <xf numFmtId="0" fontId="52" fillId="5" borderId="26" xfId="12" applyFont="1" applyFill="1" applyBorder="1" applyAlignment="1">
      <alignment horizontal="left" vertical="center" wrapText="1"/>
    </xf>
    <xf numFmtId="0" fontId="52" fillId="5" borderId="7" xfId="12" applyFont="1" applyFill="1" applyBorder="1" applyAlignment="1">
      <alignment horizontal="left" vertical="center" wrapText="1"/>
    </xf>
    <xf numFmtId="0" fontId="52" fillId="5" borderId="0" xfId="12" applyFont="1" applyFill="1" applyAlignment="1">
      <alignment horizontal="left" vertical="center" wrapText="1"/>
    </xf>
    <xf numFmtId="0" fontId="52" fillId="5" borderId="27" xfId="12" applyFont="1" applyFill="1" applyBorder="1" applyAlignment="1">
      <alignment horizontal="left" vertical="center" wrapText="1"/>
    </xf>
    <xf numFmtId="0" fontId="52" fillId="5" borderId="28" xfId="12" applyFont="1" applyFill="1" applyBorder="1" applyAlignment="1">
      <alignment horizontal="left" vertical="center" wrapText="1"/>
    </xf>
    <xf numFmtId="0" fontId="52" fillId="5" borderId="29" xfId="12" applyFont="1" applyFill="1" applyBorder="1" applyAlignment="1">
      <alignment horizontal="left" vertical="center" wrapText="1"/>
    </xf>
    <xf numFmtId="0" fontId="52" fillId="5" borderId="30" xfId="12" applyFont="1" applyFill="1" applyBorder="1" applyAlignment="1">
      <alignment horizontal="left" vertical="center" wrapText="1"/>
    </xf>
    <xf numFmtId="0" fontId="1" fillId="3" borderId="24" xfId="12" applyFont="1" applyFill="1" applyBorder="1" applyAlignment="1">
      <alignment horizontal="left" vertical="center" wrapText="1"/>
    </xf>
    <xf numFmtId="0" fontId="1" fillId="3" borderId="25" xfId="12" applyFont="1" applyFill="1" applyBorder="1" applyAlignment="1">
      <alignment horizontal="left" vertical="center" wrapText="1"/>
    </xf>
    <xf numFmtId="0" fontId="1" fillId="3" borderId="26" xfId="12" applyFont="1" applyFill="1" applyBorder="1" applyAlignment="1">
      <alignment horizontal="left" vertical="center" wrapText="1"/>
    </xf>
    <xf numFmtId="0" fontId="1" fillId="3" borderId="7" xfId="12" applyFont="1" applyFill="1" applyBorder="1" applyAlignment="1">
      <alignment horizontal="left" vertical="center" wrapText="1"/>
    </xf>
    <xf numFmtId="0" fontId="1" fillId="3" borderId="0" xfId="12" applyFont="1" applyFill="1" applyAlignment="1">
      <alignment horizontal="left" vertical="center" wrapText="1"/>
    </xf>
    <xf numFmtId="0" fontId="1" fillId="3" borderId="27" xfId="12" applyFont="1" applyFill="1" applyBorder="1" applyAlignment="1">
      <alignment horizontal="left" vertical="center" wrapText="1"/>
    </xf>
    <xf numFmtId="0" fontId="1" fillId="3" borderId="28" xfId="12" applyFont="1" applyFill="1" applyBorder="1" applyAlignment="1">
      <alignment horizontal="left" vertical="center" wrapText="1"/>
    </xf>
    <xf numFmtId="0" fontId="1" fillId="3" borderId="29" xfId="12" applyFont="1" applyFill="1" applyBorder="1" applyAlignment="1">
      <alignment horizontal="left" vertical="center" wrapText="1"/>
    </xf>
    <xf numFmtId="0" fontId="1" fillId="3" borderId="30" xfId="12" applyFont="1" applyFill="1" applyBorder="1" applyAlignment="1">
      <alignment horizontal="left" vertical="center" wrapText="1"/>
    </xf>
    <xf numFmtId="0" fontId="41" fillId="0" borderId="0" xfId="1" quotePrefix="1" applyFont="1" applyAlignment="1">
      <alignment horizontal="left" vertical="center" wrapText="1"/>
    </xf>
    <xf numFmtId="0" fontId="41" fillId="0" borderId="0" xfId="1" quotePrefix="1" applyFont="1" applyAlignment="1">
      <alignment horizontal="left" wrapText="1"/>
    </xf>
    <xf numFmtId="0" fontId="41" fillId="0" borderId="0" xfId="1" applyFont="1" applyAlignment="1">
      <alignment horizontal="left" wrapText="1"/>
    </xf>
  </cellXfs>
  <cellStyles count="17">
    <cellStyle name="Comma" xfId="10" builtinId="3"/>
    <cellStyle name="Comma 2" xfId="16" xr:uid="{1102801F-ED7D-4A0A-A2B0-97020AF045E6}"/>
    <cellStyle name="Comma 3" xfId="8" xr:uid="{00000000-0005-0000-0000-000000000000}"/>
    <cellStyle name="Hyperlink" xfId="2" builtinId="8"/>
    <cellStyle name="Normal" xfId="0" builtinId="0"/>
    <cellStyle name="Normal 2" xfId="1" xr:uid="{00000000-0005-0000-0000-000003000000}"/>
    <cellStyle name="Normal 2 2" xfId="5" xr:uid="{00000000-0005-0000-0000-000004000000}"/>
    <cellStyle name="Normal 2 3" xfId="6" xr:uid="{00000000-0005-0000-0000-000005000000}"/>
    <cellStyle name="Normal 3" xfId="9" xr:uid="{00000000-0005-0000-0000-000006000000}"/>
    <cellStyle name="Normal 3 2" xfId="15" xr:uid="{AFBF03CF-DE87-4367-A4F0-7C60DCC7794C}"/>
    <cellStyle name="Normal 4" xfId="12" xr:uid="{0C7C97D6-47EC-43CB-BE70-C2E1BFE187D4}"/>
    <cellStyle name="Normal 5" xfId="14" xr:uid="{585CE0FF-7704-449E-A638-565438C663A1}"/>
    <cellStyle name="Percent" xfId="11" builtinId="5"/>
    <cellStyle name="Percent 2" xfId="3" xr:uid="{00000000-0005-0000-0000-000007000000}"/>
    <cellStyle name="Percent 2 2" xfId="4" xr:uid="{00000000-0005-0000-0000-000008000000}"/>
    <cellStyle name="Percent 3" xfId="7" xr:uid="{00000000-0005-0000-0000-000009000000}"/>
    <cellStyle name="Percent 4" xfId="13" xr:uid="{C2D66D2D-5998-4453-B48D-BDCDA94CC834}"/>
  </cellStyles>
  <dxfs count="0"/>
  <tableStyles count="0" defaultTableStyle="TableStyleMedium2" defaultPivotStyle="PivotStyleLight16"/>
  <colors>
    <mruColors>
      <color rgb="FF0000FF"/>
      <color rgb="FFFFCCFF"/>
      <color rgb="FF00FF00"/>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49390</xdr:colOff>
      <xdr:row>9</xdr:row>
      <xdr:rowOff>56445</xdr:rowOff>
    </xdr:from>
    <xdr:to>
      <xdr:col>6</xdr:col>
      <xdr:colOff>593329</xdr:colOff>
      <xdr:row>10</xdr:row>
      <xdr:rowOff>98510</xdr:rowOff>
    </xdr:to>
    <xdr:pic>
      <xdr:nvPicPr>
        <xdr:cNvPr id="3" name="Picture 2">
          <a:extLst>
            <a:ext uri="{FF2B5EF4-FFF2-40B4-BE49-F238E27FC236}">
              <a16:creationId xmlns:a16="http://schemas.microsoft.com/office/drawing/2014/main" id="{D69BA40E-0671-4D2F-B1EB-CA6596EF9321}"/>
            </a:ext>
          </a:extLst>
        </xdr:cNvPr>
        <xdr:cNvPicPr>
          <a:picLocks noChangeAspect="1"/>
        </xdr:cNvPicPr>
      </xdr:nvPicPr>
      <xdr:blipFill>
        <a:blip xmlns:r="http://schemas.openxmlformats.org/officeDocument/2006/relationships" r:embed="rId1"/>
        <a:stretch>
          <a:fillRect/>
        </a:stretch>
      </xdr:blipFill>
      <xdr:spPr>
        <a:xfrm>
          <a:off x="1594557" y="1291167"/>
          <a:ext cx="2520667" cy="21339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pbgc.gov/prac/mortality-retirement-and-pv-max-guarantee/erisa-section-4044-retirement-assumptions" TargetMode="External"/><Relationship Id="rId1" Type="http://schemas.openxmlformats.org/officeDocument/2006/relationships/hyperlink" Target="http://www.pbgc.gov/Documents/High-XRA-table.xlsx" TargetMode="External"/></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s://www.pbgc.gov/employers-practitioners/interest-rates/erisa-4044-assumption" TargetMode="External"/><Relationship Id="rId1" Type="http://schemas.openxmlformats.org/officeDocument/2006/relationships/hyperlink" Target="https://www.ecfr.gov/current/title-29/subtitle-B/chapter-XL/subchapter-E/part-4050/subpart-A/section-4050.102" TargetMode="External"/></Relationships>
</file>

<file path=xl/worksheets/_rels/sheet14.xml.rels><?xml version="1.0" encoding="UTF-8" standalone="yes"?>
<Relationships xmlns="http://schemas.openxmlformats.org/package/2006/relationships"><Relationship Id="rId2" Type="http://schemas.openxmlformats.org/officeDocument/2006/relationships/hyperlink" Target="https://www.pbgc.gov/documents/erisa-4050-mortality-table" TargetMode="External"/><Relationship Id="rId1" Type="http://schemas.openxmlformats.org/officeDocument/2006/relationships/hyperlink" Target="https://www.ecfr.gov/current/title-29/subtitle-B/chapter-XL/subchapter-E/part-4044/subpart-B/subject-group-ECFR2e56984e6648263/section-4044.53" TargetMode="Externa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tabColor theme="4" tint="0.59999389629810485"/>
    <pageSetUpPr fitToPage="1"/>
  </sheetPr>
  <dimension ref="B1:D43"/>
  <sheetViews>
    <sheetView zoomScale="115" zoomScaleNormal="115" workbookViewId="0">
      <pane ySplit="2" topLeftCell="A3" activePane="bottomLeft" state="frozen"/>
      <selection pane="bottomLeft" activeCell="H10" sqref="H10"/>
    </sheetView>
  </sheetViews>
  <sheetFormatPr defaultColWidth="8.7265625" defaultRowHeight="12.5" x14ac:dyDescent="0.25"/>
  <cols>
    <col min="1" max="1" width="2" style="77" customWidth="1"/>
    <col min="2" max="2" width="3" style="78" customWidth="1"/>
    <col min="3" max="3" width="2.453125" style="77" customWidth="1"/>
    <col min="4" max="4" width="108" style="77" customWidth="1"/>
    <col min="5" max="16384" width="8.7265625" style="77"/>
  </cols>
  <sheetData>
    <row r="1" spans="2:4" ht="18.75" customHeight="1" x14ac:dyDescent="0.45">
      <c r="B1" s="212" t="s">
        <v>0</v>
      </c>
      <c r="C1" s="212"/>
      <c r="D1" s="212"/>
    </row>
    <row r="2" spans="2:4" ht="18.75" customHeight="1" x14ac:dyDescent="0.45">
      <c r="B2" s="213" t="s">
        <v>1</v>
      </c>
      <c r="C2" s="212"/>
      <c r="D2" s="212"/>
    </row>
    <row r="3" spans="2:4" s="79" customFormat="1" ht="15.75" customHeight="1" x14ac:dyDescent="0.25">
      <c r="B3" s="375" t="s">
        <v>2</v>
      </c>
      <c r="C3" s="375"/>
      <c r="D3" s="375"/>
    </row>
    <row r="4" spans="2:4" s="79" customFormat="1" ht="45" customHeight="1" x14ac:dyDescent="0.25">
      <c r="B4" s="360" t="s">
        <v>3</v>
      </c>
      <c r="C4" s="361"/>
      <c r="D4" s="361"/>
    </row>
    <row r="5" spans="2:4" s="79" customFormat="1" ht="45" customHeight="1" x14ac:dyDescent="0.25">
      <c r="B5" s="376" t="s">
        <v>4</v>
      </c>
      <c r="C5" s="361"/>
      <c r="D5" s="361"/>
    </row>
    <row r="6" spans="2:4" s="79" customFormat="1" ht="18" customHeight="1" x14ac:dyDescent="0.25">
      <c r="B6" s="361" t="s">
        <v>5</v>
      </c>
      <c r="C6" s="361"/>
      <c r="D6" s="361"/>
    </row>
    <row r="7" spans="2:4" s="79" customFormat="1" ht="17.649999999999999" customHeight="1" x14ac:dyDescent="0.25">
      <c r="B7" s="349" t="s">
        <v>6</v>
      </c>
      <c r="C7" s="361" t="s">
        <v>7</v>
      </c>
      <c r="D7" s="361"/>
    </row>
    <row r="8" spans="2:4" s="79" customFormat="1" ht="17.649999999999999" customHeight="1" x14ac:dyDescent="0.25">
      <c r="B8" s="349" t="s">
        <v>6</v>
      </c>
      <c r="C8" s="361" t="s">
        <v>8</v>
      </c>
      <c r="D8" s="361"/>
    </row>
    <row r="9" spans="2:4" s="79" customFormat="1" ht="17.649999999999999" customHeight="1" x14ac:dyDescent="0.25">
      <c r="B9" s="349" t="s">
        <v>6</v>
      </c>
      <c r="C9" s="361" t="s">
        <v>9</v>
      </c>
      <c r="D9" s="361"/>
    </row>
    <row r="10" spans="2:4" s="79" customFormat="1" x14ac:dyDescent="0.25">
      <c r="B10" s="78"/>
    </row>
    <row r="11" spans="2:4" s="79" customFormat="1" ht="18" customHeight="1" x14ac:dyDescent="0.25">
      <c r="B11" s="375" t="s">
        <v>10</v>
      </c>
      <c r="C11" s="375"/>
      <c r="D11" s="375"/>
    </row>
    <row r="12" spans="2:4" s="79" customFormat="1" ht="29.65" customHeight="1" x14ac:dyDescent="0.25">
      <c r="B12" s="360" t="s">
        <v>11</v>
      </c>
      <c r="C12" s="361"/>
      <c r="D12" s="361"/>
    </row>
    <row r="13" spans="2:4" s="79" customFormat="1" ht="43.9" customHeight="1" x14ac:dyDescent="0.25">
      <c r="B13" s="360" t="s">
        <v>12</v>
      </c>
      <c r="C13" s="361"/>
      <c r="D13" s="361"/>
    </row>
    <row r="14" spans="2:4" s="79" customFormat="1" ht="30.75" customHeight="1" x14ac:dyDescent="0.25">
      <c r="B14" s="361" t="s">
        <v>13</v>
      </c>
      <c r="C14" s="361"/>
      <c r="D14" s="361"/>
    </row>
    <row r="15" spans="2:4" s="79" customFormat="1" ht="17.649999999999999" customHeight="1" x14ac:dyDescent="0.25">
      <c r="B15" s="78" t="s">
        <v>6</v>
      </c>
      <c r="C15" s="361" t="s">
        <v>14</v>
      </c>
      <c r="D15" s="361"/>
    </row>
    <row r="16" spans="2:4" s="79" customFormat="1" ht="18.75" customHeight="1" x14ac:dyDescent="0.25">
      <c r="B16" s="78" t="s">
        <v>6</v>
      </c>
      <c r="C16" s="360" t="s">
        <v>15</v>
      </c>
      <c r="D16" s="361"/>
    </row>
    <row r="17" spans="2:4" s="79" customFormat="1" ht="42" customHeight="1" x14ac:dyDescent="0.25">
      <c r="B17" s="360" t="s">
        <v>16</v>
      </c>
      <c r="C17" s="361"/>
      <c r="D17" s="361"/>
    </row>
    <row r="18" spans="2:4" s="79" customFormat="1" x14ac:dyDescent="0.25">
      <c r="B18" s="78"/>
    </row>
    <row r="19" spans="2:4" s="79" customFormat="1" ht="17.25" customHeight="1" x14ac:dyDescent="0.25">
      <c r="B19" s="373" t="s">
        <v>17</v>
      </c>
      <c r="C19" s="373"/>
      <c r="D19" s="373"/>
    </row>
    <row r="20" spans="2:4" s="79" customFormat="1" ht="55.15" customHeight="1" x14ac:dyDescent="0.25">
      <c r="B20" s="360" t="s">
        <v>18</v>
      </c>
      <c r="C20" s="361"/>
      <c r="D20" s="361"/>
    </row>
    <row r="21" spans="2:4" s="79" customFormat="1" ht="29.25" customHeight="1" x14ac:dyDescent="0.25">
      <c r="B21" s="78" t="s">
        <v>6</v>
      </c>
      <c r="C21" s="360" t="s">
        <v>19</v>
      </c>
      <c r="D21" s="361"/>
    </row>
    <row r="22" spans="2:4" s="79" customFormat="1" ht="45" customHeight="1" x14ac:dyDescent="0.25">
      <c r="B22" s="78"/>
      <c r="C22" s="360" t="s">
        <v>20</v>
      </c>
      <c r="D22" s="361"/>
    </row>
    <row r="23" spans="2:4" s="79" customFormat="1" ht="31.5" customHeight="1" x14ac:dyDescent="0.25">
      <c r="B23" s="78" t="s">
        <v>6</v>
      </c>
      <c r="C23" s="360" t="s">
        <v>21</v>
      </c>
      <c r="D23" s="361"/>
    </row>
    <row r="24" spans="2:4" s="79" customFormat="1" ht="30" customHeight="1" x14ac:dyDescent="0.25">
      <c r="B24" s="78"/>
      <c r="C24" s="360" t="s">
        <v>22</v>
      </c>
      <c r="D24" s="361"/>
    </row>
    <row r="25" spans="2:4" s="79" customFormat="1" ht="17.649999999999999" customHeight="1" x14ac:dyDescent="0.25">
      <c r="B25" s="78"/>
      <c r="C25" s="360" t="s">
        <v>23</v>
      </c>
      <c r="D25" s="361"/>
    </row>
    <row r="26" spans="2:4" s="79" customFormat="1" ht="17.649999999999999" customHeight="1" x14ac:dyDescent="0.25">
      <c r="B26" s="78"/>
      <c r="C26" s="360" t="s">
        <v>24</v>
      </c>
      <c r="D26" s="361"/>
    </row>
    <row r="27" spans="2:4" s="79" customFormat="1" ht="32.25" customHeight="1" x14ac:dyDescent="0.25">
      <c r="B27" s="78"/>
      <c r="C27" s="374" t="s">
        <v>25</v>
      </c>
      <c r="D27" s="374"/>
    </row>
    <row r="28" spans="2:4" s="79" customFormat="1" ht="31.5" customHeight="1" x14ac:dyDescent="0.25">
      <c r="B28" s="360" t="s">
        <v>26</v>
      </c>
      <c r="C28" s="361"/>
      <c r="D28" s="361"/>
    </row>
    <row r="29" spans="2:4" s="79" customFormat="1" ht="42" customHeight="1" x14ac:dyDescent="0.25">
      <c r="B29" s="360" t="s">
        <v>27</v>
      </c>
      <c r="C29" s="361"/>
      <c r="D29" s="361"/>
    </row>
    <row r="30" spans="2:4" s="79" customFormat="1" x14ac:dyDescent="0.25">
      <c r="B30" s="78"/>
    </row>
    <row r="31" spans="2:4" s="79" customFormat="1" ht="15" customHeight="1" x14ac:dyDescent="0.25">
      <c r="B31" s="373" t="s">
        <v>28</v>
      </c>
      <c r="C31" s="373"/>
      <c r="D31" s="373"/>
    </row>
    <row r="32" spans="2:4" s="79" customFormat="1" ht="32.65" customHeight="1" x14ac:dyDescent="0.25">
      <c r="B32" s="360" t="s">
        <v>29</v>
      </c>
      <c r="C32" s="361"/>
      <c r="D32" s="361"/>
    </row>
    <row r="33" spans="2:4" s="79" customFormat="1" ht="17.649999999999999" customHeight="1" x14ac:dyDescent="0.25">
      <c r="B33" s="78" t="s">
        <v>6</v>
      </c>
      <c r="C33" s="367" t="s">
        <v>30</v>
      </c>
      <c r="D33" s="368"/>
    </row>
    <row r="34" spans="2:4" s="79" customFormat="1" ht="30" customHeight="1" x14ac:dyDescent="0.25">
      <c r="B34" s="78" t="s">
        <v>6</v>
      </c>
      <c r="C34" s="367" t="s">
        <v>31</v>
      </c>
      <c r="D34" s="368"/>
    </row>
    <row r="35" spans="2:4" s="79" customFormat="1" x14ac:dyDescent="0.25">
      <c r="B35" s="360" t="s">
        <v>32</v>
      </c>
      <c r="C35" s="361"/>
      <c r="D35" s="361"/>
    </row>
    <row r="36" spans="2:4" s="79" customFormat="1" x14ac:dyDescent="0.25">
      <c r="B36" s="78"/>
    </row>
    <row r="37" spans="2:4" s="79" customFormat="1" ht="14.5" x14ac:dyDescent="0.25">
      <c r="B37" s="373" t="s">
        <v>33</v>
      </c>
      <c r="C37" s="373"/>
      <c r="D37" s="373"/>
    </row>
    <row r="38" spans="2:4" s="79" customFormat="1" x14ac:dyDescent="0.25">
      <c r="B38" s="360" t="s">
        <v>34</v>
      </c>
      <c r="C38" s="361"/>
      <c r="D38" s="361"/>
    </row>
    <row r="39" spans="2:4" s="79" customFormat="1" ht="13" thickBot="1" x14ac:dyDescent="0.3">
      <c r="B39" s="78"/>
    </row>
    <row r="40" spans="2:4" ht="17.25" customHeight="1" x14ac:dyDescent="0.25">
      <c r="B40" s="369" t="s">
        <v>35</v>
      </c>
      <c r="C40" s="370"/>
      <c r="D40" s="371"/>
    </row>
    <row r="41" spans="2:4" ht="17.649999999999999" customHeight="1" x14ac:dyDescent="0.25">
      <c r="B41" s="177" t="s">
        <v>36</v>
      </c>
      <c r="C41" s="372" t="s">
        <v>37</v>
      </c>
      <c r="D41" s="363"/>
    </row>
    <row r="42" spans="2:4" ht="28.5" customHeight="1" x14ac:dyDescent="0.25">
      <c r="B42" s="177" t="s">
        <v>38</v>
      </c>
      <c r="C42" s="362" t="s">
        <v>39</v>
      </c>
      <c r="D42" s="363"/>
    </row>
    <row r="43" spans="2:4" ht="27.75" customHeight="1" thickBot="1" x14ac:dyDescent="0.3">
      <c r="B43" s="364" t="s">
        <v>40</v>
      </c>
      <c r="C43" s="365"/>
      <c r="D43" s="366"/>
    </row>
  </sheetData>
  <sheetProtection algorithmName="SHA-512" hashValue="rA7qEBQ+vdbKC/bfacFi6hLqCm/rovudFYfQkhWiiAo7jNP5l9WlTsm2SV9mn17qCQKRkzSjsTcOfOHDfzpH1g==" saltValue="p1RDGWCUQSJFkx7/fBNgOw==" spinCount="100000" sheet="1" objects="1" scenarios="1"/>
  <mergeCells count="36">
    <mergeCell ref="B13:D13"/>
    <mergeCell ref="B3:D3"/>
    <mergeCell ref="B4:D4"/>
    <mergeCell ref="B5:D5"/>
    <mergeCell ref="B6:D6"/>
    <mergeCell ref="C7:D7"/>
    <mergeCell ref="C8:D8"/>
    <mergeCell ref="C9:D9"/>
    <mergeCell ref="B11:D11"/>
    <mergeCell ref="B12:D12"/>
    <mergeCell ref="B20:D20"/>
    <mergeCell ref="C23:D23"/>
    <mergeCell ref="B28:D28"/>
    <mergeCell ref="B29:D29"/>
    <mergeCell ref="B31:D31"/>
    <mergeCell ref="C21:D21"/>
    <mergeCell ref="C22:D22"/>
    <mergeCell ref="C27:D27"/>
    <mergeCell ref="C24:D24"/>
    <mergeCell ref="C25:D25"/>
    <mergeCell ref="C26:D26"/>
    <mergeCell ref="B14:D14"/>
    <mergeCell ref="C15:D15"/>
    <mergeCell ref="C16:D16"/>
    <mergeCell ref="B17:D17"/>
    <mergeCell ref="B19:D19"/>
    <mergeCell ref="B32:D32"/>
    <mergeCell ref="C42:D42"/>
    <mergeCell ref="B43:D43"/>
    <mergeCell ref="C33:D33"/>
    <mergeCell ref="C34:D34"/>
    <mergeCell ref="B35:D35"/>
    <mergeCell ref="B40:D40"/>
    <mergeCell ref="C41:D41"/>
    <mergeCell ref="B37:D37"/>
    <mergeCell ref="B38:D38"/>
  </mergeCells>
  <printOptions horizontalCentered="1"/>
  <pageMargins left="0.25" right="0.25" top="0.75" bottom="0.75" header="0.3" footer="0.3"/>
  <pageSetup scale="72" orientation="portrait" r:id="rId1"/>
  <ignoredErrors>
    <ignoredError sqref="B41:B42"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FFFF00"/>
  </sheetPr>
  <dimension ref="A1:AI133"/>
  <sheetViews>
    <sheetView zoomScale="120" zoomScaleNormal="120" workbookViewId="0">
      <selection activeCell="C9" sqref="C9"/>
    </sheetView>
  </sheetViews>
  <sheetFormatPr defaultColWidth="9.26953125" defaultRowHeight="12.5" x14ac:dyDescent="0.25"/>
  <cols>
    <col min="1" max="2" width="12.7265625" style="3" customWidth="1"/>
    <col min="3" max="3" width="34.26953125" style="3" customWidth="1"/>
    <col min="4" max="4" width="2.54296875" style="4" customWidth="1"/>
    <col min="5" max="5" width="14" style="3" customWidth="1"/>
    <col min="6" max="6" width="10.26953125" style="3" customWidth="1"/>
    <col min="7" max="7" width="9.54296875" style="4" bestFit="1" customWidth="1"/>
    <col min="8" max="8" width="9.54296875" style="4" customWidth="1"/>
    <col min="9" max="9" width="2.54296875" style="4" customWidth="1"/>
    <col min="10" max="10" width="9.26953125" style="4" bestFit="1" customWidth="1"/>
    <col min="11" max="11" width="14.54296875" style="4" bestFit="1" customWidth="1"/>
    <col min="12" max="12" width="10.7265625" style="4" customWidth="1"/>
    <col min="13" max="13" width="9.26953125" style="4" bestFit="1" customWidth="1"/>
    <col min="14" max="14" width="8.7265625" style="4" customWidth="1"/>
    <col min="15" max="15" width="5.7265625" style="4" customWidth="1"/>
    <col min="16" max="16" width="9.26953125" style="4" bestFit="1" customWidth="1"/>
    <col min="17" max="17" width="14.54296875" style="4" bestFit="1" customWidth="1"/>
    <col min="18" max="18" width="10.7265625" style="4" customWidth="1"/>
    <col min="19" max="19" width="9.26953125" style="4" bestFit="1" customWidth="1"/>
    <col min="20" max="20" width="8.453125" style="4" customWidth="1"/>
    <col min="21" max="21" width="5.7265625" style="4" customWidth="1"/>
    <col min="22" max="22" width="6" style="3" customWidth="1"/>
    <col min="23" max="23" width="9.54296875" style="3" bestFit="1" customWidth="1"/>
    <col min="24" max="24" width="9.26953125" style="3"/>
    <col min="25" max="25" width="12.26953125" style="3" bestFit="1" customWidth="1"/>
    <col min="26" max="26" width="11.26953125" style="3" bestFit="1" customWidth="1"/>
    <col min="27" max="27" width="15.7265625" style="3" bestFit="1" customWidth="1"/>
    <col min="28" max="28" width="10.26953125" style="3" bestFit="1" customWidth="1"/>
    <col min="29" max="30" width="9.26953125" style="3"/>
    <col min="31" max="31" width="9.26953125" style="14"/>
    <col min="32" max="34" width="10" style="14" bestFit="1" customWidth="1"/>
    <col min="35" max="35" width="9.26953125" style="14"/>
    <col min="36" max="16384" width="9.26953125" style="3"/>
  </cols>
  <sheetData>
    <row r="1" spans="1:35" ht="13" x14ac:dyDescent="0.3">
      <c r="A1" s="51" t="s">
        <v>77</v>
      </c>
      <c r="D1" s="318"/>
      <c r="E1" s="80"/>
      <c r="F1" s="4"/>
      <c r="I1" s="324"/>
      <c r="M1" s="10"/>
      <c r="O1" s="324"/>
      <c r="S1" s="10"/>
      <c r="U1" s="324"/>
    </row>
    <row r="2" spans="1:35" ht="13.9" customHeight="1" x14ac:dyDescent="0.35">
      <c r="A2" s="33" t="s">
        <v>105</v>
      </c>
      <c r="B2" s="31"/>
      <c r="C2" s="32"/>
      <c r="D2" s="319"/>
      <c r="E2" s="80"/>
      <c r="F2" s="4"/>
      <c r="G2" s="3"/>
      <c r="H2" s="3"/>
      <c r="I2" s="325"/>
      <c r="O2" s="325"/>
      <c r="P2" s="254"/>
      <c r="R2" s="273"/>
      <c r="S2" s="51"/>
      <c r="U2" s="325"/>
    </row>
    <row r="3" spans="1:35" ht="13.15" customHeight="1" x14ac:dyDescent="0.3">
      <c r="A3" s="17" t="s">
        <v>106</v>
      </c>
      <c r="D3" s="320"/>
      <c r="E3" s="80"/>
      <c r="F3" s="391" t="s">
        <v>107</v>
      </c>
      <c r="G3" s="3"/>
      <c r="H3" s="258" t="s">
        <v>80</v>
      </c>
      <c r="I3" s="326"/>
      <c r="N3" s="251" t="s">
        <v>94</v>
      </c>
      <c r="O3" s="326"/>
      <c r="T3" s="251" t="s">
        <v>94</v>
      </c>
      <c r="U3" s="326"/>
    </row>
    <row r="4" spans="1:35" ht="12.75" customHeight="1" x14ac:dyDescent="0.3">
      <c r="A4" s="37">
        <f>'Annuity Factor Calcs'!$D$18</f>
        <v>70.583299999999994</v>
      </c>
      <c r="D4" s="321"/>
      <c r="E4" s="80"/>
      <c r="F4" s="391"/>
      <c r="G4" s="3"/>
      <c r="H4" s="258" t="s">
        <v>84</v>
      </c>
      <c r="I4" s="327"/>
      <c r="J4" s="250" t="s">
        <v>80</v>
      </c>
      <c r="K4" s="391" t="s">
        <v>86</v>
      </c>
      <c r="L4" s="391" t="s">
        <v>87</v>
      </c>
      <c r="M4" s="274"/>
      <c r="N4" s="252" t="s">
        <v>108</v>
      </c>
      <c r="O4" s="327"/>
      <c r="P4" s="250" t="s">
        <v>80</v>
      </c>
      <c r="Q4" s="391" t="s">
        <v>86</v>
      </c>
      <c r="R4" s="391" t="s">
        <v>87</v>
      </c>
      <c r="S4" s="274"/>
      <c r="T4" s="252" t="s">
        <v>108</v>
      </c>
      <c r="U4" s="327"/>
    </row>
    <row r="5" spans="1:35" ht="15" x14ac:dyDescent="0.4">
      <c r="A5" s="21">
        <f>INT(A4)</f>
        <v>70</v>
      </c>
      <c r="B5" s="48">
        <f>SUMPRODUCT($H$7:$H$127,SurvivalDiscount,InterestDiscount,Payment)</f>
        <v>10.955839207590014</v>
      </c>
      <c r="C5" s="260"/>
      <c r="D5" s="320"/>
      <c r="E5" s="80"/>
      <c r="F5" s="391"/>
      <c r="G5" s="250" t="s">
        <v>91</v>
      </c>
      <c r="H5" s="359" t="s">
        <v>186</v>
      </c>
      <c r="I5" s="326"/>
      <c r="J5" s="250" t="s">
        <v>84</v>
      </c>
      <c r="K5" s="391"/>
      <c r="L5" s="391"/>
      <c r="M5" s="250" t="s">
        <v>109</v>
      </c>
      <c r="N5" s="253" t="s">
        <v>88</v>
      </c>
      <c r="O5" s="326"/>
      <c r="P5" s="250" t="s">
        <v>84</v>
      </c>
      <c r="Q5" s="391"/>
      <c r="R5" s="391"/>
      <c r="S5" s="250" t="s">
        <v>109</v>
      </c>
      <c r="T5" s="253" t="s">
        <v>89</v>
      </c>
      <c r="U5" s="326"/>
    </row>
    <row r="6" spans="1:35" ht="16" x14ac:dyDescent="0.4">
      <c r="A6" s="21">
        <f>A5+1</f>
        <v>71</v>
      </c>
      <c r="B6" s="48">
        <f>SUMPRODUCT($H$7:$H$127,SurvivalDiscount2,InterestDiscount2,Payment2)</f>
        <v>10.637809943477485</v>
      </c>
      <c r="C6" s="260"/>
      <c r="D6" s="320"/>
      <c r="E6" s="6" t="s">
        <v>94</v>
      </c>
      <c r="F6" s="391"/>
      <c r="G6" s="257" t="s">
        <v>95</v>
      </c>
      <c r="H6" s="258" t="s">
        <v>110</v>
      </c>
      <c r="I6" s="326"/>
      <c r="J6" s="5">
        <f>LOOKUP(N6,$E$7:$E$127,J7:J127)</f>
        <v>1</v>
      </c>
      <c r="K6" s="391"/>
      <c r="L6" s="391"/>
      <c r="M6" s="250" t="s">
        <v>84</v>
      </c>
      <c r="N6" s="255">
        <f>$A$5</f>
        <v>70</v>
      </c>
      <c r="O6" s="357" t="s">
        <v>98</v>
      </c>
      <c r="P6" s="5">
        <f>LOOKUP(T6,$E$7:$E$127,P7:P127)</f>
        <v>1</v>
      </c>
      <c r="Q6" s="391"/>
      <c r="R6" s="391"/>
      <c r="S6" s="250" t="s">
        <v>84</v>
      </c>
      <c r="T6" s="255">
        <f>$A$6</f>
        <v>71</v>
      </c>
      <c r="U6" s="357" t="s">
        <v>98</v>
      </c>
      <c r="W6"/>
      <c r="X6"/>
      <c r="AA6" s="13"/>
      <c r="AB6" s="13"/>
    </row>
    <row r="7" spans="1:35" x14ac:dyDescent="0.25">
      <c r="A7" s="27">
        <f>MOD(A4,1)</f>
        <v>0.58329999999999416</v>
      </c>
      <c r="B7" s="19"/>
      <c r="C7" s="260"/>
      <c r="D7" s="322"/>
      <c r="E7" s="8">
        <v>0</v>
      </c>
      <c r="F7" s="335">
        <f>'4050 Mortality'!C5</f>
        <v>2.0200000000000001E-3</v>
      </c>
      <c r="G7" s="13">
        <f>1-F7</f>
        <v>0.99797999999999998</v>
      </c>
      <c r="H7" s="259">
        <f t="shared" ref="H7:H70" si="0">G7^(5/12)</f>
        <v>0.99915783692203297</v>
      </c>
      <c r="I7" s="328"/>
      <c r="J7" s="4">
        <v>1</v>
      </c>
      <c r="K7" s="256">
        <v>0</v>
      </c>
      <c r="L7" s="10" t="str">
        <f t="shared" ref="L7:L38" si="1">IF($E7&lt;N$6,"",(N$6-$E7-11/24))</f>
        <v/>
      </c>
      <c r="M7" s="11">
        <v>0</v>
      </c>
      <c r="N7" s="11">
        <f t="shared" ref="N7:N38" si="2">IF($E7&gt;=N$6,1,0)</f>
        <v>0</v>
      </c>
      <c r="O7" s="328"/>
      <c r="P7" s="4">
        <v>1</v>
      </c>
      <c r="Q7" s="256">
        <v>0</v>
      </c>
      <c r="R7" s="256"/>
      <c r="S7" s="11">
        <v>0</v>
      </c>
      <c r="T7" s="11">
        <f t="shared" ref="T7:T38" si="3">IF($E7&gt;=T$6,1,0)</f>
        <v>0</v>
      </c>
      <c r="U7" s="328"/>
      <c r="W7"/>
      <c r="X7"/>
      <c r="AA7" s="278"/>
    </row>
    <row r="8" spans="1:35" ht="13" x14ac:dyDescent="0.3">
      <c r="A8" s="18"/>
      <c r="B8" s="49" t="s">
        <v>111</v>
      </c>
      <c r="C8" s="260"/>
      <c r="D8" s="322"/>
      <c r="E8" s="8">
        <f t="shared" ref="E8:E71" si="4">E7+1</f>
        <v>1</v>
      </c>
      <c r="F8" s="335">
        <f>'4050 Mortality'!C6</f>
        <v>1.3999999999999999E-4</v>
      </c>
      <c r="G8" s="10">
        <f t="shared" ref="G8:G71" si="5">1-F8</f>
        <v>0.99985999999999997</v>
      </c>
      <c r="H8" s="259">
        <f t="shared" si="0"/>
        <v>0.99994166428454623</v>
      </c>
      <c r="I8" s="328"/>
      <c r="J8" s="10">
        <f t="shared" ref="J8:J39" si="6">IF($E7&lt;$A$5,1,J7*$G7)</f>
        <v>1</v>
      </c>
      <c r="K8" s="256" t="str" cm="1">
        <f t="array" ref="K8">IF($E8&lt;N$6,"",INDEX('4044 Yield Curves'!$C$7:$C$66,MIN(60,2*($E8-N$6+0.5)),0))</f>
        <v/>
      </c>
      <c r="L8" s="10" t="str">
        <f t="shared" si="1"/>
        <v/>
      </c>
      <c r="M8" s="10">
        <f t="shared" ref="M8:M39" si="7">IF($E8&lt;N$6,1,(1+K8)^L8)</f>
        <v>1</v>
      </c>
      <c r="N8" s="11">
        <f t="shared" si="2"/>
        <v>0</v>
      </c>
      <c r="O8" s="355">
        <f>N7</f>
        <v>0</v>
      </c>
      <c r="P8" s="10">
        <f t="shared" ref="P8:P39" si="8">IF($E7&lt;$A$6,1,P7*$G7)</f>
        <v>1</v>
      </c>
      <c r="Q8" s="256" t="str" cm="1">
        <f t="array" ref="Q8">IF($E8&lt;T$6,"",INDEX('4044 Yield Curves'!$C$7:$C$66,MIN(60,2*($E8-T$6+0.5)),0))</f>
        <v/>
      </c>
      <c r="R8" s="10" t="str">
        <f t="shared" ref="R8:R39" si="9">IF($E8&lt;T$6,"",(T$6-$E8-11/24))</f>
        <v/>
      </c>
      <c r="S8" s="10">
        <f t="shared" ref="S8:S39" si="10">IF($E8&lt;T$6,1,(1+Q8)^R8)</f>
        <v>1</v>
      </c>
      <c r="T8" s="11">
        <f t="shared" si="3"/>
        <v>0</v>
      </c>
      <c r="U8" s="355">
        <f>T7</f>
        <v>0</v>
      </c>
      <c r="W8"/>
      <c r="X8"/>
      <c r="Y8" s="280"/>
      <c r="Z8" s="281"/>
      <c r="AA8" s="282"/>
      <c r="AB8" s="283"/>
      <c r="AC8" s="14"/>
      <c r="AF8" s="289"/>
      <c r="AG8" s="289"/>
      <c r="AH8" s="289"/>
      <c r="AI8" s="290"/>
    </row>
    <row r="9" spans="1:35" ht="13" x14ac:dyDescent="0.3">
      <c r="A9" s="27">
        <f>A4</f>
        <v>70.583299999999994</v>
      </c>
      <c r="B9" s="34">
        <f>B5+((B6-B5)*A7)</f>
        <v>10.770332737833177</v>
      </c>
      <c r="C9" s="260"/>
      <c r="D9" s="322"/>
      <c r="E9" s="8">
        <f t="shared" si="4"/>
        <v>2</v>
      </c>
      <c r="F9" s="335">
        <f>'4050 Mortality'!C7</f>
        <v>9.0000000000000006E-5</v>
      </c>
      <c r="G9" s="10">
        <f t="shared" si="5"/>
        <v>0.99990999999999997</v>
      </c>
      <c r="H9" s="259">
        <f t="shared" si="0"/>
        <v>0.99996249901557821</v>
      </c>
      <c r="I9" s="328"/>
      <c r="J9" s="10">
        <f t="shared" si="6"/>
        <v>1</v>
      </c>
      <c r="K9" s="256" t="str" cm="1">
        <f t="array" ref="K9">IF($E9&lt;N$6,"",INDEX('4044 Yield Curves'!$C$7:$C$66,MIN(60,2*($E9-N$6+0.5)),0))</f>
        <v/>
      </c>
      <c r="L9" s="10" t="str">
        <f t="shared" si="1"/>
        <v/>
      </c>
      <c r="M9" s="10">
        <f t="shared" si="7"/>
        <v>1</v>
      </c>
      <c r="N9" s="11">
        <f t="shared" si="2"/>
        <v>0</v>
      </c>
      <c r="O9" s="355">
        <f t="shared" ref="O9:O40" si="11">O8+N8</f>
        <v>0</v>
      </c>
      <c r="P9" s="10">
        <f t="shared" si="8"/>
        <v>1</v>
      </c>
      <c r="Q9" s="256" t="str" cm="1">
        <f t="array" ref="Q9">IF($E9&lt;T$6,"",INDEX('4044 Yield Curves'!$C$7:$C$66,MIN(60,2*($E9-T$6+0.5)),0))</f>
        <v/>
      </c>
      <c r="R9" s="10" t="str">
        <f t="shared" si="9"/>
        <v/>
      </c>
      <c r="S9" s="10">
        <f t="shared" si="10"/>
        <v>1</v>
      </c>
      <c r="T9" s="11">
        <f t="shared" si="3"/>
        <v>0</v>
      </c>
      <c r="U9" s="355">
        <f t="shared" ref="U9:U40" si="12">U8+T8</f>
        <v>0</v>
      </c>
      <c r="W9"/>
      <c r="X9"/>
      <c r="Y9" s="285"/>
      <c r="Z9" s="277"/>
      <c r="AA9" s="20"/>
      <c r="AB9" s="279"/>
      <c r="AC9" s="286"/>
      <c r="AF9" s="289"/>
      <c r="AG9" s="289"/>
      <c r="AH9" s="289"/>
      <c r="AI9" s="290"/>
    </row>
    <row r="10" spans="1:35" ht="13" x14ac:dyDescent="0.3">
      <c r="A10" s="18"/>
      <c r="B10" s="50" t="s">
        <v>100</v>
      </c>
      <c r="C10" s="272"/>
      <c r="D10" s="322"/>
      <c r="E10" s="8">
        <f t="shared" si="4"/>
        <v>3</v>
      </c>
      <c r="F10" s="335">
        <f>'4050 Mortality'!C8</f>
        <v>6.9999999999999994E-5</v>
      </c>
      <c r="G10" s="10">
        <f t="shared" si="5"/>
        <v>0.99992999999999999</v>
      </c>
      <c r="H10" s="259">
        <f t="shared" si="0"/>
        <v>0.99997083273782517</v>
      </c>
      <c r="I10" s="328"/>
      <c r="J10" s="10">
        <f t="shared" si="6"/>
        <v>1</v>
      </c>
      <c r="K10" s="256" t="str" cm="1">
        <f t="array" ref="K10">IF($E10&lt;N$6,"",INDEX('4044 Yield Curves'!$C$7:$C$66,MIN(60,2*($E10-N$6+0.5)),0))</f>
        <v/>
      </c>
      <c r="L10" s="10" t="str">
        <f t="shared" si="1"/>
        <v/>
      </c>
      <c r="M10" s="10">
        <f t="shared" si="7"/>
        <v>1</v>
      </c>
      <c r="N10" s="11">
        <f t="shared" si="2"/>
        <v>0</v>
      </c>
      <c r="O10" s="355">
        <f t="shared" si="11"/>
        <v>0</v>
      </c>
      <c r="P10" s="10">
        <f t="shared" si="8"/>
        <v>1</v>
      </c>
      <c r="Q10" s="256" t="str" cm="1">
        <f t="array" ref="Q10">IF($E10&lt;T$6,"",INDEX('4044 Yield Curves'!$C$7:$C$66,MIN(60,2*($E10-T$6+0.5)),0))</f>
        <v/>
      </c>
      <c r="R10" s="10" t="str">
        <f t="shared" si="9"/>
        <v/>
      </c>
      <c r="S10" s="10">
        <f t="shared" si="10"/>
        <v>1</v>
      </c>
      <c r="T10" s="11">
        <f t="shared" si="3"/>
        <v>0</v>
      </c>
      <c r="U10" s="355">
        <f t="shared" si="12"/>
        <v>0</v>
      </c>
      <c r="W10"/>
      <c r="X10"/>
      <c r="Y10" s="285"/>
      <c r="Z10" s="277"/>
      <c r="AA10" s="20"/>
      <c r="AB10" s="279"/>
      <c r="AC10" s="286"/>
      <c r="AF10" s="289"/>
      <c r="AG10" s="289"/>
      <c r="AH10" s="289"/>
      <c r="AI10" s="290"/>
    </row>
    <row r="11" spans="1:35" ht="13" x14ac:dyDescent="0.3">
      <c r="D11" s="322"/>
      <c r="E11" s="8">
        <f t="shared" si="4"/>
        <v>4</v>
      </c>
      <c r="F11" s="335">
        <f>'4050 Mortality'!C9</f>
        <v>6.0000000000000002E-5</v>
      </c>
      <c r="G11" s="10">
        <f t="shared" si="5"/>
        <v>0.99994000000000005</v>
      </c>
      <c r="H11" s="259">
        <f t="shared" si="0"/>
        <v>0.99997499956248614</v>
      </c>
      <c r="I11" s="328"/>
      <c r="J11" s="10">
        <f t="shared" si="6"/>
        <v>1</v>
      </c>
      <c r="K11" s="256" t="str" cm="1">
        <f t="array" ref="K11">IF($E11&lt;N$6,"",INDEX('4044 Yield Curves'!$C$7:$C$66,MIN(60,2*($E11-N$6+0.5)),0))</f>
        <v/>
      </c>
      <c r="L11" s="10" t="str">
        <f t="shared" si="1"/>
        <v/>
      </c>
      <c r="M11" s="10">
        <f t="shared" si="7"/>
        <v>1</v>
      </c>
      <c r="N11" s="11">
        <f t="shared" si="2"/>
        <v>0</v>
      </c>
      <c r="O11" s="355">
        <f t="shared" si="11"/>
        <v>0</v>
      </c>
      <c r="P11" s="10">
        <f t="shared" si="8"/>
        <v>1</v>
      </c>
      <c r="Q11" s="256" t="str" cm="1">
        <f t="array" ref="Q11">IF($E11&lt;T$6,"",INDEX('4044 Yield Curves'!$C$7:$C$66,MIN(60,2*($E11-T$6+0.5)),0))</f>
        <v/>
      </c>
      <c r="R11" s="10" t="str">
        <f t="shared" si="9"/>
        <v/>
      </c>
      <c r="S11" s="10">
        <f t="shared" si="10"/>
        <v>1</v>
      </c>
      <c r="T11" s="11">
        <f t="shared" si="3"/>
        <v>0</v>
      </c>
      <c r="U11" s="355">
        <f t="shared" si="12"/>
        <v>0</v>
      </c>
      <c r="W11"/>
      <c r="X11"/>
      <c r="Y11" s="285"/>
      <c r="Z11" s="277"/>
      <c r="AA11" s="20"/>
      <c r="AB11" s="279"/>
      <c r="AC11" s="286"/>
      <c r="AF11" s="289"/>
      <c r="AG11" s="289"/>
      <c r="AH11" s="289"/>
      <c r="AI11" s="290"/>
    </row>
    <row r="12" spans="1:35" ht="13" x14ac:dyDescent="0.3">
      <c r="A12" s="337" t="s">
        <v>101</v>
      </c>
      <c r="B12" s="187"/>
      <c r="C12" s="187"/>
      <c r="D12" s="322"/>
      <c r="E12" s="8">
        <f t="shared" si="4"/>
        <v>5</v>
      </c>
      <c r="F12" s="335">
        <f>'4050 Mortality'!C10</f>
        <v>5.0000000000000002E-5</v>
      </c>
      <c r="G12" s="10">
        <f t="shared" si="5"/>
        <v>0.99995000000000001</v>
      </c>
      <c r="H12" s="259">
        <f t="shared" si="0"/>
        <v>0.99997916636283923</v>
      </c>
      <c r="I12" s="328"/>
      <c r="J12" s="10">
        <f t="shared" si="6"/>
        <v>1</v>
      </c>
      <c r="K12" s="256" t="str" cm="1">
        <f t="array" ref="K12">IF($E12&lt;N$6,"",INDEX('4044 Yield Curves'!$C$7:$C$66,MIN(60,2*($E12-N$6+0.5)),0))</f>
        <v/>
      </c>
      <c r="L12" s="10" t="str">
        <f t="shared" si="1"/>
        <v/>
      </c>
      <c r="M12" s="10">
        <f t="shared" si="7"/>
        <v>1</v>
      </c>
      <c r="N12" s="11">
        <f t="shared" si="2"/>
        <v>0</v>
      </c>
      <c r="O12" s="355">
        <f t="shared" si="11"/>
        <v>0</v>
      </c>
      <c r="P12" s="10">
        <f t="shared" si="8"/>
        <v>1</v>
      </c>
      <c r="Q12" s="256" t="str" cm="1">
        <f t="array" ref="Q12">IF($E12&lt;T$6,"",INDEX('4044 Yield Curves'!$C$7:$C$66,MIN(60,2*($E12-T$6+0.5)),0))</f>
        <v/>
      </c>
      <c r="R12" s="10" t="str">
        <f t="shared" si="9"/>
        <v/>
      </c>
      <c r="S12" s="10">
        <f t="shared" si="10"/>
        <v>1</v>
      </c>
      <c r="T12" s="11">
        <f t="shared" si="3"/>
        <v>0</v>
      </c>
      <c r="U12" s="355">
        <f t="shared" si="12"/>
        <v>0</v>
      </c>
      <c r="W12"/>
      <c r="X12"/>
      <c r="Y12" s="285"/>
      <c r="Z12" s="277"/>
      <c r="AA12" s="20"/>
      <c r="AB12" s="279"/>
      <c r="AC12" s="286"/>
      <c r="AF12" s="289"/>
      <c r="AG12" s="289"/>
      <c r="AH12" s="289"/>
      <c r="AI12" s="290"/>
    </row>
    <row r="13" spans="1:35" ht="13" x14ac:dyDescent="0.3">
      <c r="A13" s="337" t="s">
        <v>102</v>
      </c>
      <c r="B13" s="187"/>
      <c r="C13" s="187"/>
      <c r="D13" s="322"/>
      <c r="E13" s="8">
        <f t="shared" si="4"/>
        <v>6</v>
      </c>
      <c r="F13" s="335">
        <f>'4050 Mortality'!C11</f>
        <v>5.0000000000000002E-5</v>
      </c>
      <c r="G13" s="10">
        <f t="shared" si="5"/>
        <v>0.99995000000000001</v>
      </c>
      <c r="H13" s="259">
        <f t="shared" si="0"/>
        <v>0.99997916636283923</v>
      </c>
      <c r="I13" s="328"/>
      <c r="J13" s="10">
        <f t="shared" si="6"/>
        <v>1</v>
      </c>
      <c r="K13" s="256" t="str" cm="1">
        <f t="array" ref="K13">IF($E13&lt;N$6,"",INDEX('4044 Yield Curves'!$C$7:$C$66,MIN(60,2*($E13-N$6+0.5)),0))</f>
        <v/>
      </c>
      <c r="L13" s="10" t="str">
        <f t="shared" si="1"/>
        <v/>
      </c>
      <c r="M13" s="10">
        <f t="shared" si="7"/>
        <v>1</v>
      </c>
      <c r="N13" s="11">
        <f t="shared" si="2"/>
        <v>0</v>
      </c>
      <c r="O13" s="355">
        <f t="shared" si="11"/>
        <v>0</v>
      </c>
      <c r="P13" s="10">
        <f t="shared" si="8"/>
        <v>1</v>
      </c>
      <c r="Q13" s="256" t="str" cm="1">
        <f t="array" ref="Q13">IF($E13&lt;T$6,"",INDEX('4044 Yield Curves'!$C$7:$C$66,MIN(60,2*($E13-T$6+0.5)),0))</f>
        <v/>
      </c>
      <c r="R13" s="10" t="str">
        <f t="shared" si="9"/>
        <v/>
      </c>
      <c r="S13" s="10">
        <f t="shared" si="10"/>
        <v>1</v>
      </c>
      <c r="T13" s="11">
        <f t="shared" si="3"/>
        <v>0</v>
      </c>
      <c r="U13" s="355">
        <f t="shared" si="12"/>
        <v>0</v>
      </c>
      <c r="W13"/>
      <c r="X13"/>
      <c r="AA13" s="278"/>
      <c r="AC13" s="287"/>
      <c r="AF13" s="289"/>
      <c r="AG13" s="289"/>
      <c r="AH13" s="289"/>
      <c r="AI13" s="290"/>
    </row>
    <row r="14" spans="1:35" ht="13" x14ac:dyDescent="0.3">
      <c r="A14" s="347" t="s">
        <v>112</v>
      </c>
      <c r="B14" s="347"/>
      <c r="C14" s="348"/>
      <c r="D14" s="322"/>
      <c r="E14" s="8">
        <f t="shared" si="4"/>
        <v>7</v>
      </c>
      <c r="F14" s="335">
        <f>'4050 Mortality'!C12</f>
        <v>5.0000000000000002E-5</v>
      </c>
      <c r="G14" s="10">
        <f t="shared" si="5"/>
        <v>0.99995000000000001</v>
      </c>
      <c r="H14" s="259">
        <f t="shared" si="0"/>
        <v>0.99997916636283923</v>
      </c>
      <c r="I14" s="328"/>
      <c r="J14" s="10">
        <f t="shared" si="6"/>
        <v>1</v>
      </c>
      <c r="K14" s="256" t="str" cm="1">
        <f t="array" ref="K14">IF($E14&lt;N$6,"",INDEX('4044 Yield Curves'!$C$7:$C$66,MIN(60,2*($E14-N$6+0.5)),0))</f>
        <v/>
      </c>
      <c r="L14" s="10" t="str">
        <f t="shared" si="1"/>
        <v/>
      </c>
      <c r="M14" s="10">
        <f t="shared" si="7"/>
        <v>1</v>
      </c>
      <c r="N14" s="11">
        <f t="shared" si="2"/>
        <v>0</v>
      </c>
      <c r="O14" s="355">
        <f t="shared" si="11"/>
        <v>0</v>
      </c>
      <c r="P14" s="10">
        <f t="shared" si="8"/>
        <v>1</v>
      </c>
      <c r="Q14" s="256" t="str" cm="1">
        <f t="array" ref="Q14">IF($E14&lt;T$6,"",INDEX('4044 Yield Curves'!$C$7:$C$66,MIN(60,2*($E14-T$6+0.5)),0))</f>
        <v/>
      </c>
      <c r="R14" s="10" t="str">
        <f t="shared" si="9"/>
        <v/>
      </c>
      <c r="S14" s="10">
        <f t="shared" si="10"/>
        <v>1</v>
      </c>
      <c r="T14" s="11">
        <f t="shared" si="3"/>
        <v>0</v>
      </c>
      <c r="U14" s="355">
        <f t="shared" si="12"/>
        <v>0</v>
      </c>
      <c r="W14"/>
      <c r="X14"/>
      <c r="Y14"/>
      <c r="Z14"/>
      <c r="AA14" s="278"/>
      <c r="AC14" s="287"/>
      <c r="AF14" s="289"/>
      <c r="AG14" s="289"/>
      <c r="AH14" s="289"/>
      <c r="AI14" s="290"/>
    </row>
    <row r="15" spans="1:35" ht="13" x14ac:dyDescent="0.3">
      <c r="A15" s="347" t="s">
        <v>104</v>
      </c>
      <c r="B15" s="347"/>
      <c r="C15" s="348"/>
      <c r="D15" s="322"/>
      <c r="E15" s="8">
        <f t="shared" si="4"/>
        <v>8</v>
      </c>
      <c r="F15" s="335">
        <f>'4050 Mortality'!C13</f>
        <v>4.0000000000000003E-5</v>
      </c>
      <c r="G15" s="10">
        <f t="shared" si="5"/>
        <v>0.99995999999999996</v>
      </c>
      <c r="H15" s="259">
        <f t="shared" si="0"/>
        <v>0.99998333313888477</v>
      </c>
      <c r="I15" s="328"/>
      <c r="J15" s="10">
        <f t="shared" si="6"/>
        <v>1</v>
      </c>
      <c r="K15" s="256" t="str" cm="1">
        <f t="array" ref="K15">IF($E15&lt;N$6,"",INDEX('4044 Yield Curves'!$C$7:$C$66,MIN(60,2*($E15-N$6+0.5)),0))</f>
        <v/>
      </c>
      <c r="L15" s="10" t="str">
        <f t="shared" si="1"/>
        <v/>
      </c>
      <c r="M15" s="10">
        <f t="shared" si="7"/>
        <v>1</v>
      </c>
      <c r="N15" s="11">
        <f t="shared" si="2"/>
        <v>0</v>
      </c>
      <c r="O15" s="355">
        <f t="shared" si="11"/>
        <v>0</v>
      </c>
      <c r="P15" s="10">
        <f t="shared" si="8"/>
        <v>1</v>
      </c>
      <c r="Q15" s="256" t="str" cm="1">
        <f t="array" ref="Q15">IF($E15&lt;T$6,"",INDEX('4044 Yield Curves'!$C$7:$C$66,MIN(60,2*($E15-T$6+0.5)),0))</f>
        <v/>
      </c>
      <c r="R15" s="10" t="str">
        <f t="shared" si="9"/>
        <v/>
      </c>
      <c r="S15" s="10">
        <f t="shared" si="10"/>
        <v>1</v>
      </c>
      <c r="T15" s="11">
        <f t="shared" si="3"/>
        <v>0</v>
      </c>
      <c r="U15" s="355">
        <f t="shared" si="12"/>
        <v>0</v>
      </c>
      <c r="W15"/>
      <c r="X15"/>
      <c r="Y15" s="19"/>
      <c r="Z15"/>
      <c r="AA15" s="278"/>
      <c r="AC15" s="287"/>
      <c r="AF15" s="289"/>
      <c r="AG15" s="289"/>
      <c r="AH15" s="289"/>
      <c r="AI15" s="290"/>
    </row>
    <row r="16" spans="1:35" ht="13.15" customHeight="1" x14ac:dyDescent="0.3">
      <c r="A16" s="214"/>
      <c r="B16" s="214"/>
      <c r="C16" s="214"/>
      <c r="D16" s="322"/>
      <c r="E16" s="8">
        <f t="shared" si="4"/>
        <v>9</v>
      </c>
      <c r="F16" s="335">
        <f>'4050 Mortality'!C14</f>
        <v>3.0000000000000001E-5</v>
      </c>
      <c r="G16" s="10">
        <f t="shared" si="5"/>
        <v>0.99997000000000003</v>
      </c>
      <c r="H16" s="259">
        <f t="shared" si="0"/>
        <v>0.9999874998906233</v>
      </c>
      <c r="I16" s="328"/>
      <c r="J16" s="10">
        <f t="shared" si="6"/>
        <v>1</v>
      </c>
      <c r="K16" s="256" t="str" cm="1">
        <f t="array" ref="K16">IF($E16&lt;N$6,"",INDEX('4044 Yield Curves'!$C$7:$C$66,MIN(60,2*($E16-N$6+0.5)),0))</f>
        <v/>
      </c>
      <c r="L16" s="10" t="str">
        <f t="shared" si="1"/>
        <v/>
      </c>
      <c r="M16" s="10">
        <f t="shared" si="7"/>
        <v>1</v>
      </c>
      <c r="N16" s="11">
        <f t="shared" si="2"/>
        <v>0</v>
      </c>
      <c r="O16" s="355">
        <f t="shared" si="11"/>
        <v>0</v>
      </c>
      <c r="P16" s="10">
        <f t="shared" si="8"/>
        <v>1</v>
      </c>
      <c r="Q16" s="256" t="str" cm="1">
        <f t="array" ref="Q16">IF($E16&lt;T$6,"",INDEX('4044 Yield Curves'!$C$7:$C$66,MIN(60,2*($E16-T$6+0.5)),0))</f>
        <v/>
      </c>
      <c r="R16" s="10" t="str">
        <f t="shared" si="9"/>
        <v/>
      </c>
      <c r="S16" s="10">
        <f t="shared" si="10"/>
        <v>1</v>
      </c>
      <c r="T16" s="11">
        <f t="shared" si="3"/>
        <v>0</v>
      </c>
      <c r="U16" s="355">
        <f t="shared" si="12"/>
        <v>0</v>
      </c>
      <c r="V16" s="12"/>
      <c r="W16"/>
      <c r="X16"/>
      <c r="Y16" s="291"/>
      <c r="Z16"/>
      <c r="AA16" s="278"/>
      <c r="AC16" s="287"/>
      <c r="AF16" s="289"/>
      <c r="AG16" s="289"/>
      <c r="AH16" s="289"/>
      <c r="AI16" s="290"/>
    </row>
    <row r="17" spans="1:35" ht="13" x14ac:dyDescent="0.3">
      <c r="A17" s="188"/>
      <c r="B17" s="188"/>
      <c r="C17" s="188"/>
      <c r="D17" s="322"/>
      <c r="E17" s="8">
        <f t="shared" si="4"/>
        <v>10</v>
      </c>
      <c r="F17" s="335">
        <f>'4050 Mortality'!C15</f>
        <v>4.0000000000000003E-5</v>
      </c>
      <c r="G17" s="10">
        <f t="shared" si="5"/>
        <v>0.99995999999999996</v>
      </c>
      <c r="H17" s="259">
        <f t="shared" si="0"/>
        <v>0.99998333313888477</v>
      </c>
      <c r="I17" s="328"/>
      <c r="J17" s="10">
        <f t="shared" si="6"/>
        <v>1</v>
      </c>
      <c r="K17" s="256" t="str" cm="1">
        <f t="array" ref="K17">IF($E17&lt;N$6,"",INDEX('4044 Yield Curves'!$C$7:$C$66,MIN(60,2*($E17-N$6+0.5)),0))</f>
        <v/>
      </c>
      <c r="L17" s="10" t="str">
        <f t="shared" si="1"/>
        <v/>
      </c>
      <c r="M17" s="10">
        <f t="shared" si="7"/>
        <v>1</v>
      </c>
      <c r="N17" s="11">
        <f t="shared" si="2"/>
        <v>0</v>
      </c>
      <c r="O17" s="355">
        <f t="shared" si="11"/>
        <v>0</v>
      </c>
      <c r="P17" s="10">
        <f t="shared" si="8"/>
        <v>1</v>
      </c>
      <c r="Q17" s="256" t="str" cm="1">
        <f t="array" ref="Q17">IF($E17&lt;T$6,"",INDEX('4044 Yield Curves'!$C$7:$C$66,MIN(60,2*($E17-T$6+0.5)),0))</f>
        <v/>
      </c>
      <c r="R17" s="10" t="str">
        <f t="shared" si="9"/>
        <v/>
      </c>
      <c r="S17" s="10">
        <f t="shared" si="10"/>
        <v>1</v>
      </c>
      <c r="T17" s="11">
        <f t="shared" si="3"/>
        <v>0</v>
      </c>
      <c r="U17" s="355">
        <f t="shared" si="12"/>
        <v>0</v>
      </c>
      <c r="W17"/>
      <c r="X17"/>
      <c r="Y17" s="19"/>
      <c r="Z17"/>
      <c r="AA17" s="278"/>
      <c r="AC17" s="287"/>
      <c r="AF17" s="289"/>
      <c r="AG17" s="289"/>
      <c r="AH17" s="289"/>
      <c r="AI17" s="290"/>
    </row>
    <row r="18" spans="1:35" ht="13" x14ac:dyDescent="0.3">
      <c r="A18" s="188"/>
      <c r="B18" s="188"/>
      <c r="C18" s="188"/>
      <c r="D18" s="322"/>
      <c r="E18" s="8">
        <f t="shared" si="4"/>
        <v>11</v>
      </c>
      <c r="F18" s="335">
        <f>'4050 Mortality'!C16</f>
        <v>4.0000000000000003E-5</v>
      </c>
      <c r="G18" s="10">
        <f t="shared" si="5"/>
        <v>0.99995999999999996</v>
      </c>
      <c r="H18" s="259">
        <f t="shared" si="0"/>
        <v>0.99998333313888477</v>
      </c>
      <c r="I18" s="328"/>
      <c r="J18" s="10">
        <f t="shared" si="6"/>
        <v>1</v>
      </c>
      <c r="K18" s="256" t="str" cm="1">
        <f t="array" ref="K18">IF($E18&lt;N$6,"",INDEX('4044 Yield Curves'!$C$7:$C$66,MIN(60,2*($E18-N$6+0.5)),0))</f>
        <v/>
      </c>
      <c r="L18" s="10" t="str">
        <f t="shared" si="1"/>
        <v/>
      </c>
      <c r="M18" s="10">
        <f t="shared" si="7"/>
        <v>1</v>
      </c>
      <c r="N18" s="11">
        <f t="shared" si="2"/>
        <v>0</v>
      </c>
      <c r="O18" s="355">
        <f t="shared" si="11"/>
        <v>0</v>
      </c>
      <c r="P18" s="10">
        <f t="shared" si="8"/>
        <v>1</v>
      </c>
      <c r="Q18" s="256" t="str" cm="1">
        <f t="array" ref="Q18">IF($E18&lt;T$6,"",INDEX('4044 Yield Curves'!$C$7:$C$66,MIN(60,2*($E18-T$6+0.5)),0))</f>
        <v/>
      </c>
      <c r="R18" s="10" t="str">
        <f t="shared" si="9"/>
        <v/>
      </c>
      <c r="S18" s="10">
        <f t="shared" si="10"/>
        <v>1</v>
      </c>
      <c r="T18" s="11">
        <f t="shared" si="3"/>
        <v>0</v>
      </c>
      <c r="U18" s="355">
        <f t="shared" si="12"/>
        <v>0</v>
      </c>
      <c r="W18"/>
      <c r="X18"/>
      <c r="Y18" s="292"/>
      <c r="Z18"/>
      <c r="AA18" s="278"/>
      <c r="AC18" s="287"/>
      <c r="AF18" s="289"/>
      <c r="AG18" s="289"/>
      <c r="AH18" s="289"/>
      <c r="AI18" s="290"/>
    </row>
    <row r="19" spans="1:35" ht="13" x14ac:dyDescent="0.3">
      <c r="A19" s="188"/>
      <c r="B19" s="188"/>
      <c r="C19" s="188"/>
      <c r="D19" s="322"/>
      <c r="E19" s="8">
        <f t="shared" si="4"/>
        <v>12</v>
      </c>
      <c r="F19" s="335">
        <f>'4050 Mortality'!C17</f>
        <v>5.0000000000000002E-5</v>
      </c>
      <c r="G19" s="10">
        <f t="shared" si="5"/>
        <v>0.99995000000000001</v>
      </c>
      <c r="H19" s="259">
        <f t="shared" si="0"/>
        <v>0.99997916636283923</v>
      </c>
      <c r="I19" s="328"/>
      <c r="J19" s="10">
        <f t="shared" si="6"/>
        <v>1</v>
      </c>
      <c r="K19" s="256" t="str" cm="1">
        <f t="array" ref="K19">IF($E19&lt;N$6,"",INDEX('4044 Yield Curves'!$C$7:$C$66,MIN(60,2*($E19-N$6+0.5)),0))</f>
        <v/>
      </c>
      <c r="L19" s="10" t="str">
        <f t="shared" si="1"/>
        <v/>
      </c>
      <c r="M19" s="10">
        <f t="shared" si="7"/>
        <v>1</v>
      </c>
      <c r="N19" s="11">
        <f t="shared" si="2"/>
        <v>0</v>
      </c>
      <c r="O19" s="355">
        <f t="shared" si="11"/>
        <v>0</v>
      </c>
      <c r="P19" s="10">
        <f t="shared" si="8"/>
        <v>1</v>
      </c>
      <c r="Q19" s="256" t="str" cm="1">
        <f t="array" ref="Q19">IF($E19&lt;T$6,"",INDEX('4044 Yield Curves'!$C$7:$C$66,MIN(60,2*($E19-T$6+0.5)),0))</f>
        <v/>
      </c>
      <c r="R19" s="10" t="str">
        <f t="shared" si="9"/>
        <v/>
      </c>
      <c r="S19" s="10">
        <f t="shared" si="10"/>
        <v>1</v>
      </c>
      <c r="T19" s="11">
        <f t="shared" si="3"/>
        <v>0</v>
      </c>
      <c r="U19" s="355">
        <f t="shared" si="12"/>
        <v>0</v>
      </c>
      <c r="W19"/>
      <c r="X19"/>
      <c r="Y19"/>
      <c r="Z19" s="293"/>
      <c r="AA19" s="278"/>
      <c r="AC19" s="287"/>
      <c r="AF19" s="289"/>
      <c r="AG19" s="289"/>
      <c r="AH19" s="289"/>
      <c r="AI19" s="290"/>
    </row>
    <row r="20" spans="1:35" ht="13" x14ac:dyDescent="0.3">
      <c r="A20" s="188"/>
      <c r="B20" s="188"/>
      <c r="C20" s="188"/>
      <c r="D20" s="322"/>
      <c r="E20" s="8">
        <f t="shared" si="4"/>
        <v>13</v>
      </c>
      <c r="F20" s="335">
        <f>'4050 Mortality'!C18</f>
        <v>6.0000000000000002E-5</v>
      </c>
      <c r="G20" s="10">
        <f t="shared" si="5"/>
        <v>0.99994000000000005</v>
      </c>
      <c r="H20" s="259">
        <f t="shared" si="0"/>
        <v>0.99997499956248614</v>
      </c>
      <c r="I20" s="328"/>
      <c r="J20" s="10">
        <f t="shared" si="6"/>
        <v>1</v>
      </c>
      <c r="K20" s="256" t="str" cm="1">
        <f t="array" ref="K20">IF($E20&lt;N$6,"",INDEX('4044 Yield Curves'!$C$7:$C$66,MIN(60,2*($E20-N$6+0.5)),0))</f>
        <v/>
      </c>
      <c r="L20" s="10" t="str">
        <f t="shared" si="1"/>
        <v/>
      </c>
      <c r="M20" s="10">
        <f t="shared" si="7"/>
        <v>1</v>
      </c>
      <c r="N20" s="11">
        <f t="shared" si="2"/>
        <v>0</v>
      </c>
      <c r="O20" s="355">
        <f t="shared" si="11"/>
        <v>0</v>
      </c>
      <c r="P20" s="10">
        <f t="shared" si="8"/>
        <v>1</v>
      </c>
      <c r="Q20" s="256" t="str" cm="1">
        <f t="array" ref="Q20">IF($E20&lt;T$6,"",INDEX('4044 Yield Curves'!$C$7:$C$66,MIN(60,2*($E20-T$6+0.5)),0))</f>
        <v/>
      </c>
      <c r="R20" s="10" t="str">
        <f t="shared" si="9"/>
        <v/>
      </c>
      <c r="S20" s="10">
        <f t="shared" si="10"/>
        <v>1</v>
      </c>
      <c r="T20" s="11">
        <f t="shared" si="3"/>
        <v>0</v>
      </c>
      <c r="U20" s="355">
        <f t="shared" si="12"/>
        <v>0</v>
      </c>
      <c r="W20"/>
      <c r="X20"/>
      <c r="Y20" s="19"/>
      <c r="Z20"/>
      <c r="AA20" s="278"/>
      <c r="AC20" s="287"/>
      <c r="AF20" s="289"/>
      <c r="AG20" s="289"/>
      <c r="AH20" s="289"/>
      <c r="AI20" s="290"/>
    </row>
    <row r="21" spans="1:35" ht="13" x14ac:dyDescent="0.3">
      <c r="A21" s="188"/>
      <c r="B21" s="188"/>
      <c r="C21" s="188"/>
      <c r="D21" s="322"/>
      <c r="E21" s="8">
        <f t="shared" si="4"/>
        <v>14</v>
      </c>
      <c r="F21" s="335">
        <f>'4050 Mortality'!C19</f>
        <v>6.9999999999999994E-5</v>
      </c>
      <c r="G21" s="10">
        <f t="shared" si="5"/>
        <v>0.99992999999999999</v>
      </c>
      <c r="H21" s="259">
        <f t="shared" si="0"/>
        <v>0.99997083273782517</v>
      </c>
      <c r="I21" s="328"/>
      <c r="J21" s="10">
        <f t="shared" si="6"/>
        <v>1</v>
      </c>
      <c r="K21" s="256" t="str" cm="1">
        <f t="array" ref="K21">IF($E21&lt;N$6,"",INDEX('4044 Yield Curves'!$C$7:$C$66,MIN(60,2*($E21-N$6+0.5)),0))</f>
        <v/>
      </c>
      <c r="L21" s="10" t="str">
        <f t="shared" si="1"/>
        <v/>
      </c>
      <c r="M21" s="10">
        <f t="shared" si="7"/>
        <v>1</v>
      </c>
      <c r="N21" s="11">
        <f t="shared" si="2"/>
        <v>0</v>
      </c>
      <c r="O21" s="355">
        <f t="shared" si="11"/>
        <v>0</v>
      </c>
      <c r="P21" s="10">
        <f t="shared" si="8"/>
        <v>1</v>
      </c>
      <c r="Q21" s="256" t="str" cm="1">
        <f t="array" ref="Q21">IF($E21&lt;T$6,"",INDEX('4044 Yield Curves'!$C$7:$C$66,MIN(60,2*($E21-T$6+0.5)),0))</f>
        <v/>
      </c>
      <c r="R21" s="10" t="str">
        <f t="shared" si="9"/>
        <v/>
      </c>
      <c r="S21" s="10">
        <f t="shared" si="10"/>
        <v>1</v>
      </c>
      <c r="T21" s="11">
        <f t="shared" si="3"/>
        <v>0</v>
      </c>
      <c r="U21" s="355">
        <f t="shared" si="12"/>
        <v>0</v>
      </c>
      <c r="W21"/>
      <c r="X21"/>
      <c r="Y21" s="19"/>
      <c r="Z21"/>
      <c r="AA21" s="278"/>
      <c r="AC21" s="287"/>
      <c r="AF21" s="289"/>
      <c r="AG21" s="289"/>
      <c r="AH21" s="289"/>
      <c r="AI21" s="290"/>
    </row>
    <row r="22" spans="1:35" ht="13" x14ac:dyDescent="0.3">
      <c r="A22" s="188"/>
      <c r="B22" s="189"/>
      <c r="C22" s="188"/>
      <c r="D22" s="322"/>
      <c r="E22" s="8">
        <f t="shared" si="4"/>
        <v>15</v>
      </c>
      <c r="F22" s="335">
        <f>'4050 Mortality'!C20</f>
        <v>8.0000000000000007E-5</v>
      </c>
      <c r="G22" s="10">
        <f t="shared" si="5"/>
        <v>0.99992000000000003</v>
      </c>
      <c r="H22" s="259">
        <f t="shared" si="0"/>
        <v>0.99996666588885608</v>
      </c>
      <c r="I22" s="328"/>
      <c r="J22" s="10">
        <f t="shared" si="6"/>
        <v>1</v>
      </c>
      <c r="K22" s="256" t="str" cm="1">
        <f t="array" ref="K22">IF($E22&lt;N$6,"",INDEX('4044 Yield Curves'!$C$7:$C$66,MIN(60,2*($E22-N$6+0.5)),0))</f>
        <v/>
      </c>
      <c r="L22" s="10" t="str">
        <f t="shared" si="1"/>
        <v/>
      </c>
      <c r="M22" s="10">
        <f t="shared" si="7"/>
        <v>1</v>
      </c>
      <c r="N22" s="11">
        <f t="shared" si="2"/>
        <v>0</v>
      </c>
      <c r="O22" s="355">
        <f t="shared" si="11"/>
        <v>0</v>
      </c>
      <c r="P22" s="10">
        <f t="shared" si="8"/>
        <v>1</v>
      </c>
      <c r="Q22" s="256" t="str" cm="1">
        <f t="array" ref="Q22">IF($E22&lt;T$6,"",INDEX('4044 Yield Curves'!$C$7:$C$66,MIN(60,2*($E22-T$6+0.5)),0))</f>
        <v/>
      </c>
      <c r="R22" s="10" t="str">
        <f t="shared" si="9"/>
        <v/>
      </c>
      <c r="S22" s="10">
        <f t="shared" si="10"/>
        <v>1</v>
      </c>
      <c r="T22" s="11">
        <f t="shared" si="3"/>
        <v>0</v>
      </c>
      <c r="U22" s="355">
        <f t="shared" si="12"/>
        <v>0</v>
      </c>
      <c r="W22"/>
      <c r="X22"/>
      <c r="Y22" s="19"/>
      <c r="Z22"/>
      <c r="AA22" s="278"/>
      <c r="AC22" s="287"/>
      <c r="AF22" s="289"/>
      <c r="AG22" s="289"/>
      <c r="AH22" s="289"/>
      <c r="AI22" s="290"/>
    </row>
    <row r="23" spans="1:35" ht="13" x14ac:dyDescent="0.3">
      <c r="A23" s="188"/>
      <c r="B23" s="189"/>
      <c r="C23" s="188"/>
      <c r="D23" s="322"/>
      <c r="E23" s="8">
        <f t="shared" si="4"/>
        <v>16</v>
      </c>
      <c r="F23" s="335">
        <f>'4050 Mortality'!C21</f>
        <v>1E-4</v>
      </c>
      <c r="G23" s="10">
        <f t="shared" si="5"/>
        <v>0.99990000000000001</v>
      </c>
      <c r="H23" s="259">
        <f t="shared" si="0"/>
        <v>0.99995833211799146</v>
      </c>
      <c r="I23" s="328"/>
      <c r="J23" s="10">
        <f t="shared" si="6"/>
        <v>1</v>
      </c>
      <c r="K23" s="256" t="str" cm="1">
        <f t="array" ref="K23">IF($E23&lt;N$6,"",INDEX('4044 Yield Curves'!$C$7:$C$66,MIN(60,2*($E23-N$6+0.5)),0))</f>
        <v/>
      </c>
      <c r="L23" s="10" t="str">
        <f t="shared" si="1"/>
        <v/>
      </c>
      <c r="M23" s="10">
        <f t="shared" si="7"/>
        <v>1</v>
      </c>
      <c r="N23" s="11">
        <f t="shared" si="2"/>
        <v>0</v>
      </c>
      <c r="O23" s="355">
        <f t="shared" si="11"/>
        <v>0</v>
      </c>
      <c r="P23" s="10">
        <f t="shared" si="8"/>
        <v>1</v>
      </c>
      <c r="Q23" s="256" t="str" cm="1">
        <f t="array" ref="Q23">IF($E23&lt;T$6,"",INDEX('4044 Yield Curves'!$C$7:$C$66,MIN(60,2*($E23-T$6+0.5)),0))</f>
        <v/>
      </c>
      <c r="R23" s="10" t="str">
        <f t="shared" si="9"/>
        <v/>
      </c>
      <c r="S23" s="10">
        <f t="shared" si="10"/>
        <v>1</v>
      </c>
      <c r="T23" s="11">
        <f t="shared" si="3"/>
        <v>0</v>
      </c>
      <c r="U23" s="355">
        <f t="shared" si="12"/>
        <v>0</v>
      </c>
      <c r="W23"/>
      <c r="X23"/>
      <c r="Y23" s="19"/>
      <c r="Z23"/>
      <c r="AA23" s="278"/>
      <c r="AC23" s="287"/>
      <c r="AF23" s="289"/>
      <c r="AG23" s="289"/>
      <c r="AH23" s="289"/>
      <c r="AI23" s="290"/>
    </row>
    <row r="24" spans="1:35" ht="13" x14ac:dyDescent="0.3">
      <c r="A24" s="188"/>
      <c r="B24" s="189"/>
      <c r="C24" s="188"/>
      <c r="D24" s="322"/>
      <c r="E24" s="8">
        <f t="shared" si="4"/>
        <v>17</v>
      </c>
      <c r="F24" s="335">
        <f>'4050 Mortality'!C22</f>
        <v>1.2E-4</v>
      </c>
      <c r="G24" s="10">
        <f t="shared" si="5"/>
        <v>0.99987999999999999</v>
      </c>
      <c r="H24" s="259">
        <f t="shared" si="0"/>
        <v>0.99994999824988917</v>
      </c>
      <c r="I24" s="328"/>
      <c r="J24" s="10">
        <f t="shared" si="6"/>
        <v>1</v>
      </c>
      <c r="K24" s="256" t="str" cm="1">
        <f t="array" ref="K24">IF($E24&lt;N$6,"",INDEX('4044 Yield Curves'!$C$7:$C$66,MIN(60,2*($E24-N$6+0.5)),0))</f>
        <v/>
      </c>
      <c r="L24" s="10" t="str">
        <f t="shared" si="1"/>
        <v/>
      </c>
      <c r="M24" s="10">
        <f t="shared" si="7"/>
        <v>1</v>
      </c>
      <c r="N24" s="11">
        <f t="shared" si="2"/>
        <v>0</v>
      </c>
      <c r="O24" s="355">
        <f t="shared" si="11"/>
        <v>0</v>
      </c>
      <c r="P24" s="10">
        <f t="shared" si="8"/>
        <v>1</v>
      </c>
      <c r="Q24" s="256" t="str" cm="1">
        <f t="array" ref="Q24">IF($E24&lt;T$6,"",INDEX('4044 Yield Curves'!$C$7:$C$66,MIN(60,2*($E24-T$6+0.5)),0))</f>
        <v/>
      </c>
      <c r="R24" s="10" t="str">
        <f t="shared" si="9"/>
        <v/>
      </c>
      <c r="S24" s="10">
        <f t="shared" si="10"/>
        <v>1</v>
      </c>
      <c r="T24" s="11">
        <f t="shared" si="3"/>
        <v>0</v>
      </c>
      <c r="U24" s="355">
        <f t="shared" si="12"/>
        <v>0</v>
      </c>
      <c r="W24"/>
      <c r="X24"/>
      <c r="Y24"/>
      <c r="Z24"/>
      <c r="AA24" s="278"/>
      <c r="AC24" s="287"/>
      <c r="AF24" s="289"/>
      <c r="AG24" s="289"/>
      <c r="AH24" s="289"/>
      <c r="AI24" s="290"/>
    </row>
    <row r="25" spans="1:35" ht="13" x14ac:dyDescent="0.3">
      <c r="B25" s="13"/>
      <c r="D25" s="322"/>
      <c r="E25" s="8">
        <f t="shared" si="4"/>
        <v>18</v>
      </c>
      <c r="F25" s="335">
        <f>'4050 Mortality'!C23</f>
        <v>1.3999999999999999E-4</v>
      </c>
      <c r="G25" s="10">
        <f t="shared" si="5"/>
        <v>0.99985999999999997</v>
      </c>
      <c r="H25" s="259">
        <f t="shared" si="0"/>
        <v>0.99994166428454623</v>
      </c>
      <c r="I25" s="328"/>
      <c r="J25" s="10">
        <f t="shared" si="6"/>
        <v>1</v>
      </c>
      <c r="K25" s="256" t="str" cm="1">
        <f t="array" ref="K25">IF($E25&lt;N$6,"",INDEX('4044 Yield Curves'!$C$7:$C$66,MIN(60,2*($E25-N$6+0.5)),0))</f>
        <v/>
      </c>
      <c r="L25" s="10" t="str">
        <f t="shared" si="1"/>
        <v/>
      </c>
      <c r="M25" s="10">
        <f t="shared" si="7"/>
        <v>1</v>
      </c>
      <c r="N25" s="11">
        <f t="shared" si="2"/>
        <v>0</v>
      </c>
      <c r="O25" s="355">
        <f t="shared" si="11"/>
        <v>0</v>
      </c>
      <c r="P25" s="10">
        <f t="shared" si="8"/>
        <v>1</v>
      </c>
      <c r="Q25" s="256" t="str" cm="1">
        <f t="array" ref="Q25">IF($E25&lt;T$6,"",INDEX('4044 Yield Curves'!$C$7:$C$66,MIN(60,2*($E25-T$6+0.5)),0))</f>
        <v/>
      </c>
      <c r="R25" s="10" t="str">
        <f t="shared" si="9"/>
        <v/>
      </c>
      <c r="S25" s="10">
        <f t="shared" si="10"/>
        <v>1</v>
      </c>
      <c r="T25" s="11">
        <f t="shared" si="3"/>
        <v>0</v>
      </c>
      <c r="U25" s="355">
        <f t="shared" si="12"/>
        <v>0</v>
      </c>
      <c r="W25"/>
      <c r="X25"/>
      <c r="Y25"/>
      <c r="Z25"/>
      <c r="AA25" s="278"/>
      <c r="AC25" s="287"/>
      <c r="AF25" s="289"/>
      <c r="AG25" s="289"/>
      <c r="AH25" s="289"/>
      <c r="AI25" s="290"/>
    </row>
    <row r="26" spans="1:35" ht="14" x14ac:dyDescent="0.3">
      <c r="B26" s="13"/>
      <c r="D26" s="322"/>
      <c r="E26" s="8">
        <f t="shared" si="4"/>
        <v>19</v>
      </c>
      <c r="F26" s="335">
        <f>'4050 Mortality'!C24</f>
        <v>1.4999999999999999E-4</v>
      </c>
      <c r="G26" s="10">
        <f t="shared" si="5"/>
        <v>0.99985000000000002</v>
      </c>
      <c r="H26" s="259">
        <f t="shared" si="0"/>
        <v>0.99993749726540848</v>
      </c>
      <c r="I26" s="328"/>
      <c r="J26" s="10">
        <f t="shared" si="6"/>
        <v>1</v>
      </c>
      <c r="K26" s="256" t="str" cm="1">
        <f t="array" ref="K26">IF($E26&lt;N$6,"",INDEX('4044 Yield Curves'!$C$7:$C$66,MIN(60,2*($E26-N$6+0.5)),0))</f>
        <v/>
      </c>
      <c r="L26" s="10" t="str">
        <f t="shared" si="1"/>
        <v/>
      </c>
      <c r="M26" s="10">
        <f t="shared" si="7"/>
        <v>1</v>
      </c>
      <c r="N26" s="11">
        <f t="shared" si="2"/>
        <v>0</v>
      </c>
      <c r="O26" s="355">
        <f t="shared" si="11"/>
        <v>0</v>
      </c>
      <c r="P26" s="10">
        <f t="shared" si="8"/>
        <v>1</v>
      </c>
      <c r="Q26" s="256" t="str" cm="1">
        <f t="array" ref="Q26">IF($E26&lt;T$6,"",INDEX('4044 Yield Curves'!$C$7:$C$66,MIN(60,2*($E26-T$6+0.5)),0))</f>
        <v/>
      </c>
      <c r="R26" s="10" t="str">
        <f t="shared" si="9"/>
        <v/>
      </c>
      <c r="S26" s="10">
        <f t="shared" si="10"/>
        <v>1</v>
      </c>
      <c r="T26" s="11">
        <f t="shared" si="3"/>
        <v>0</v>
      </c>
      <c r="U26" s="355">
        <f t="shared" si="12"/>
        <v>0</v>
      </c>
      <c r="W26"/>
      <c r="X26"/>
      <c r="Y26" s="19"/>
      <c r="Z26"/>
      <c r="AA26" s="278"/>
      <c r="AC26" s="178"/>
      <c r="AF26" s="289"/>
      <c r="AG26" s="289"/>
      <c r="AH26" s="289"/>
      <c r="AI26" s="290"/>
    </row>
    <row r="27" spans="1:35" ht="13" x14ac:dyDescent="0.3">
      <c r="B27" s="13"/>
      <c r="D27" s="322"/>
      <c r="E27" s="8">
        <f t="shared" si="4"/>
        <v>20</v>
      </c>
      <c r="F27" s="335">
        <f>'4050 Mortality'!C25</f>
        <v>1.6000000000000001E-4</v>
      </c>
      <c r="G27" s="10">
        <f t="shared" si="5"/>
        <v>0.99983999999999995</v>
      </c>
      <c r="H27" s="259">
        <f t="shared" si="0"/>
        <v>0.9999333302219594</v>
      </c>
      <c r="I27" s="328"/>
      <c r="J27" s="10">
        <f t="shared" si="6"/>
        <v>1</v>
      </c>
      <c r="K27" s="256" t="str" cm="1">
        <f t="array" ref="K27">IF($E27&lt;N$6,"",INDEX('4044 Yield Curves'!$C$7:$C$66,MIN(60,2*($E27-N$6+0.5)),0))</f>
        <v/>
      </c>
      <c r="L27" s="10" t="str">
        <f t="shared" si="1"/>
        <v/>
      </c>
      <c r="M27" s="10">
        <f t="shared" si="7"/>
        <v>1</v>
      </c>
      <c r="N27" s="11">
        <f t="shared" si="2"/>
        <v>0</v>
      </c>
      <c r="O27" s="355">
        <f t="shared" si="11"/>
        <v>0</v>
      </c>
      <c r="P27" s="10">
        <f t="shared" si="8"/>
        <v>1</v>
      </c>
      <c r="Q27" s="256" t="str" cm="1">
        <f t="array" ref="Q27">IF($E27&lt;T$6,"",INDEX('4044 Yield Curves'!$C$7:$C$66,MIN(60,2*($E27-T$6+0.5)),0))</f>
        <v/>
      </c>
      <c r="R27" s="10" t="str">
        <f t="shared" si="9"/>
        <v/>
      </c>
      <c r="S27" s="10">
        <f t="shared" si="10"/>
        <v>1</v>
      </c>
      <c r="T27" s="11">
        <f t="shared" si="3"/>
        <v>0</v>
      </c>
      <c r="U27" s="355">
        <f t="shared" si="12"/>
        <v>0</v>
      </c>
      <c r="W27"/>
      <c r="X27"/>
      <c r="Y27" s="19"/>
      <c r="Z27"/>
      <c r="AA27" s="278"/>
      <c r="AB27" s="279"/>
      <c r="AC27" s="287"/>
      <c r="AF27" s="289"/>
      <c r="AG27" s="289"/>
      <c r="AH27" s="289"/>
      <c r="AI27" s="290"/>
    </row>
    <row r="28" spans="1:35" ht="14" x14ac:dyDescent="0.3">
      <c r="B28" s="13"/>
      <c r="D28" s="322"/>
      <c r="E28" s="8">
        <f t="shared" si="4"/>
        <v>21</v>
      </c>
      <c r="F28" s="335">
        <f>'4050 Mortality'!C26</f>
        <v>1.6000000000000001E-4</v>
      </c>
      <c r="G28" s="10">
        <f t="shared" si="5"/>
        <v>0.99983999999999995</v>
      </c>
      <c r="H28" s="259">
        <f t="shared" si="0"/>
        <v>0.9999333302219594</v>
      </c>
      <c r="I28" s="328"/>
      <c r="J28" s="10">
        <f t="shared" si="6"/>
        <v>1</v>
      </c>
      <c r="K28" s="256" t="str" cm="1">
        <f t="array" ref="K28">IF($E28&lt;N$6,"",INDEX('4044 Yield Curves'!$C$7:$C$66,MIN(60,2*($E28-N$6+0.5)),0))</f>
        <v/>
      </c>
      <c r="L28" s="10" t="str">
        <f t="shared" si="1"/>
        <v/>
      </c>
      <c r="M28" s="10">
        <f t="shared" si="7"/>
        <v>1</v>
      </c>
      <c r="N28" s="11">
        <f t="shared" si="2"/>
        <v>0</v>
      </c>
      <c r="O28" s="355">
        <f t="shared" si="11"/>
        <v>0</v>
      </c>
      <c r="P28" s="10">
        <f t="shared" si="8"/>
        <v>1</v>
      </c>
      <c r="Q28" s="256" t="str" cm="1">
        <f t="array" ref="Q28">IF($E28&lt;T$6,"",INDEX('4044 Yield Curves'!$C$7:$C$66,MIN(60,2*($E28-T$6+0.5)),0))</f>
        <v/>
      </c>
      <c r="R28" s="10" t="str">
        <f t="shared" si="9"/>
        <v/>
      </c>
      <c r="S28" s="10">
        <f t="shared" si="10"/>
        <v>1</v>
      </c>
      <c r="T28" s="11">
        <f t="shared" si="3"/>
        <v>0</v>
      </c>
      <c r="U28" s="355">
        <f t="shared" si="12"/>
        <v>0</v>
      </c>
      <c r="W28"/>
      <c r="X28"/>
      <c r="Y28" s="19"/>
      <c r="Z28"/>
      <c r="AA28" s="178"/>
      <c r="AB28" s="178"/>
      <c r="AC28" s="287"/>
      <c r="AF28" s="289"/>
      <c r="AG28" s="289"/>
      <c r="AH28" s="289"/>
      <c r="AI28" s="290"/>
    </row>
    <row r="29" spans="1:35" ht="13" x14ac:dyDescent="0.3">
      <c r="B29" s="13"/>
      <c r="D29" s="322"/>
      <c r="E29" s="8">
        <f t="shared" si="4"/>
        <v>22</v>
      </c>
      <c r="F29" s="335">
        <f>'4050 Mortality'!C27</f>
        <v>1.7000000000000001E-4</v>
      </c>
      <c r="G29" s="10">
        <f t="shared" si="5"/>
        <v>0.99983</v>
      </c>
      <c r="H29" s="259">
        <f t="shared" si="0"/>
        <v>0.99992916315419877</v>
      </c>
      <c r="I29" s="328"/>
      <c r="J29" s="10">
        <f t="shared" si="6"/>
        <v>1</v>
      </c>
      <c r="K29" s="256" t="str" cm="1">
        <f t="array" ref="K29">IF($E29&lt;N$6,"",INDEX('4044 Yield Curves'!$C$7:$C$66,MIN(60,2*($E29-N$6+0.5)),0))</f>
        <v/>
      </c>
      <c r="L29" s="10" t="str">
        <f t="shared" si="1"/>
        <v/>
      </c>
      <c r="M29" s="10">
        <f t="shared" si="7"/>
        <v>1</v>
      </c>
      <c r="N29" s="11">
        <f t="shared" si="2"/>
        <v>0</v>
      </c>
      <c r="O29" s="355">
        <f t="shared" si="11"/>
        <v>0</v>
      </c>
      <c r="P29" s="10">
        <f t="shared" si="8"/>
        <v>1</v>
      </c>
      <c r="Q29" s="256" t="str" cm="1">
        <f t="array" ref="Q29">IF($E29&lt;T$6,"",INDEX('4044 Yield Curves'!$C$7:$C$66,MIN(60,2*($E29-T$6+0.5)),0))</f>
        <v/>
      </c>
      <c r="R29" s="10" t="str">
        <f t="shared" si="9"/>
        <v/>
      </c>
      <c r="S29" s="10">
        <f t="shared" si="10"/>
        <v>1</v>
      </c>
      <c r="T29" s="11">
        <f t="shared" si="3"/>
        <v>0</v>
      </c>
      <c r="U29" s="355">
        <f t="shared" si="12"/>
        <v>0</v>
      </c>
      <c r="W29"/>
      <c r="X29"/>
      <c r="Y29" s="19"/>
      <c r="Z29"/>
      <c r="AA29" s="278"/>
      <c r="AB29" s="279"/>
      <c r="AC29" s="287"/>
      <c r="AF29" s="289"/>
      <c r="AG29" s="289"/>
      <c r="AH29" s="289"/>
      <c r="AI29" s="290"/>
    </row>
    <row r="30" spans="1:35" ht="13" x14ac:dyDescent="0.3">
      <c r="B30" s="13"/>
      <c r="D30" s="322"/>
      <c r="E30" s="8">
        <f t="shared" si="4"/>
        <v>23</v>
      </c>
      <c r="F30" s="335">
        <f>'4050 Mortality'!C28</f>
        <v>1.8000000000000001E-4</v>
      </c>
      <c r="G30" s="10">
        <f t="shared" si="5"/>
        <v>0.99982000000000004</v>
      </c>
      <c r="H30" s="259">
        <f t="shared" si="0"/>
        <v>0.99992499606212593</v>
      </c>
      <c r="I30" s="328"/>
      <c r="J30" s="10">
        <f t="shared" si="6"/>
        <v>1</v>
      </c>
      <c r="K30" s="256" t="str" cm="1">
        <f t="array" ref="K30">IF($E30&lt;N$6,"",INDEX('4044 Yield Curves'!$C$7:$C$66,MIN(60,2*($E30-N$6+0.5)),0))</f>
        <v/>
      </c>
      <c r="L30" s="10" t="str">
        <f t="shared" si="1"/>
        <v/>
      </c>
      <c r="M30" s="10">
        <f t="shared" si="7"/>
        <v>1</v>
      </c>
      <c r="N30" s="11">
        <f t="shared" si="2"/>
        <v>0</v>
      </c>
      <c r="O30" s="355">
        <f t="shared" si="11"/>
        <v>0</v>
      </c>
      <c r="P30" s="10">
        <f t="shared" si="8"/>
        <v>1</v>
      </c>
      <c r="Q30" s="256" t="str" cm="1">
        <f t="array" ref="Q30">IF($E30&lt;T$6,"",INDEX('4044 Yield Curves'!$C$7:$C$66,MIN(60,2*($E30-T$6+0.5)),0))</f>
        <v/>
      </c>
      <c r="R30" s="10" t="str">
        <f t="shared" si="9"/>
        <v/>
      </c>
      <c r="S30" s="10">
        <f t="shared" si="10"/>
        <v>1</v>
      </c>
      <c r="T30" s="11">
        <f t="shared" si="3"/>
        <v>0</v>
      </c>
      <c r="U30" s="355">
        <f t="shared" si="12"/>
        <v>0</v>
      </c>
      <c r="W30"/>
      <c r="X30"/>
      <c r="Y30" s="19"/>
      <c r="Z30"/>
      <c r="AA30" s="278"/>
      <c r="AB30" s="279"/>
      <c r="AC30" s="287"/>
      <c r="AF30" s="289"/>
      <c r="AG30" s="289"/>
      <c r="AH30" s="289"/>
      <c r="AI30" s="290"/>
    </row>
    <row r="31" spans="1:35" ht="13" x14ac:dyDescent="0.3">
      <c r="B31" s="13"/>
      <c r="D31" s="322"/>
      <c r="E31" s="8">
        <f t="shared" si="4"/>
        <v>24</v>
      </c>
      <c r="F31" s="335">
        <f>'4050 Mortality'!C29</f>
        <v>1.9000000000000001E-4</v>
      </c>
      <c r="G31" s="10">
        <f t="shared" si="5"/>
        <v>0.99980999999999998</v>
      </c>
      <c r="H31" s="259">
        <f t="shared" si="0"/>
        <v>0.99992082894574053</v>
      </c>
      <c r="I31" s="328"/>
      <c r="J31" s="10">
        <f t="shared" si="6"/>
        <v>1</v>
      </c>
      <c r="K31" s="256" t="str" cm="1">
        <f t="array" ref="K31">IF($E31&lt;N$6,"",INDEX('4044 Yield Curves'!$C$7:$C$66,MIN(60,2*($E31-N$6+0.5)),0))</f>
        <v/>
      </c>
      <c r="L31" s="10" t="str">
        <f t="shared" si="1"/>
        <v/>
      </c>
      <c r="M31" s="10">
        <f t="shared" si="7"/>
        <v>1</v>
      </c>
      <c r="N31" s="11">
        <f t="shared" si="2"/>
        <v>0</v>
      </c>
      <c r="O31" s="355">
        <f t="shared" si="11"/>
        <v>0</v>
      </c>
      <c r="P31" s="10">
        <f t="shared" si="8"/>
        <v>1</v>
      </c>
      <c r="Q31" s="256" t="str" cm="1">
        <f t="array" ref="Q31">IF($E31&lt;T$6,"",INDEX('4044 Yield Curves'!$C$7:$C$66,MIN(60,2*($E31-T$6+0.5)),0))</f>
        <v/>
      </c>
      <c r="R31" s="10" t="str">
        <f t="shared" si="9"/>
        <v/>
      </c>
      <c r="S31" s="10">
        <f t="shared" si="10"/>
        <v>1</v>
      </c>
      <c r="T31" s="11">
        <f t="shared" si="3"/>
        <v>0</v>
      </c>
      <c r="U31" s="355">
        <f t="shared" si="12"/>
        <v>0</v>
      </c>
      <c r="W31"/>
      <c r="X31"/>
      <c r="Y31" s="19"/>
      <c r="Z31"/>
      <c r="AA31" s="278"/>
      <c r="AB31" s="279"/>
      <c r="AC31" s="287"/>
      <c r="AF31" s="289"/>
      <c r="AG31" s="289"/>
      <c r="AH31" s="289"/>
      <c r="AI31" s="290"/>
    </row>
    <row r="32" spans="1:35" ht="13" x14ac:dyDescent="0.3">
      <c r="B32" s="13"/>
      <c r="D32" s="322"/>
      <c r="E32" s="8">
        <f t="shared" si="4"/>
        <v>25</v>
      </c>
      <c r="F32" s="335">
        <f>'4050 Mortality'!C30</f>
        <v>1.9000000000000001E-4</v>
      </c>
      <c r="G32" s="10">
        <f t="shared" si="5"/>
        <v>0.99980999999999998</v>
      </c>
      <c r="H32" s="259">
        <f t="shared" si="0"/>
        <v>0.99992082894574053</v>
      </c>
      <c r="I32" s="328"/>
      <c r="J32" s="10">
        <f t="shared" si="6"/>
        <v>1</v>
      </c>
      <c r="K32" s="256" t="str" cm="1">
        <f t="array" ref="K32">IF($E32&lt;N$6,"",INDEX('4044 Yield Curves'!$C$7:$C$66,MIN(60,2*($E32-N$6+0.5)),0))</f>
        <v/>
      </c>
      <c r="L32" s="10" t="str">
        <f t="shared" si="1"/>
        <v/>
      </c>
      <c r="M32" s="10">
        <f t="shared" si="7"/>
        <v>1</v>
      </c>
      <c r="N32" s="11">
        <f t="shared" si="2"/>
        <v>0</v>
      </c>
      <c r="O32" s="355">
        <f t="shared" si="11"/>
        <v>0</v>
      </c>
      <c r="P32" s="10">
        <f t="shared" si="8"/>
        <v>1</v>
      </c>
      <c r="Q32" s="256" t="str" cm="1">
        <f t="array" ref="Q32">IF($E32&lt;T$6,"",INDEX('4044 Yield Curves'!$C$7:$C$66,MIN(60,2*($E32-T$6+0.5)),0))</f>
        <v/>
      </c>
      <c r="R32" s="10" t="str">
        <f t="shared" si="9"/>
        <v/>
      </c>
      <c r="S32" s="10">
        <f t="shared" si="10"/>
        <v>1</v>
      </c>
      <c r="T32" s="11">
        <f t="shared" si="3"/>
        <v>0</v>
      </c>
      <c r="U32" s="355">
        <f t="shared" si="12"/>
        <v>0</v>
      </c>
      <c r="W32"/>
      <c r="X32"/>
      <c r="Y32" s="19"/>
      <c r="Z32"/>
      <c r="AA32" s="278"/>
      <c r="AB32" s="279"/>
      <c r="AC32" s="287"/>
      <c r="AF32" s="289"/>
      <c r="AG32" s="289"/>
      <c r="AH32" s="289"/>
      <c r="AI32" s="290"/>
    </row>
    <row r="33" spans="2:35" ht="13" x14ac:dyDescent="0.3">
      <c r="B33" s="13"/>
      <c r="D33" s="322"/>
      <c r="E33" s="8">
        <f t="shared" si="4"/>
        <v>26</v>
      </c>
      <c r="F33" s="335">
        <f>'4050 Mortality'!C31</f>
        <v>2.0000000000000001E-4</v>
      </c>
      <c r="G33" s="10">
        <f t="shared" si="5"/>
        <v>0.99980000000000002</v>
      </c>
      <c r="H33" s="259">
        <f t="shared" si="0"/>
        <v>0.99991666180504235</v>
      </c>
      <c r="I33" s="328"/>
      <c r="J33" s="10">
        <f t="shared" si="6"/>
        <v>1</v>
      </c>
      <c r="K33" s="256" t="str" cm="1">
        <f t="array" ref="K33">IF($E33&lt;N$6,"",INDEX('4044 Yield Curves'!$C$7:$C$66,MIN(60,2*($E33-N$6+0.5)),0))</f>
        <v/>
      </c>
      <c r="L33" s="10" t="str">
        <f t="shared" si="1"/>
        <v/>
      </c>
      <c r="M33" s="10">
        <f t="shared" si="7"/>
        <v>1</v>
      </c>
      <c r="N33" s="11">
        <f t="shared" si="2"/>
        <v>0</v>
      </c>
      <c r="O33" s="355">
        <f t="shared" si="11"/>
        <v>0</v>
      </c>
      <c r="P33" s="10">
        <f t="shared" si="8"/>
        <v>1</v>
      </c>
      <c r="Q33" s="256" t="str" cm="1">
        <f t="array" ref="Q33">IF($E33&lt;T$6,"",INDEX('4044 Yield Curves'!$C$7:$C$66,MIN(60,2*($E33-T$6+0.5)),0))</f>
        <v/>
      </c>
      <c r="R33" s="10" t="str">
        <f t="shared" si="9"/>
        <v/>
      </c>
      <c r="S33" s="10">
        <f t="shared" si="10"/>
        <v>1</v>
      </c>
      <c r="T33" s="11">
        <f t="shared" si="3"/>
        <v>0</v>
      </c>
      <c r="U33" s="355">
        <f t="shared" si="12"/>
        <v>0</v>
      </c>
      <c r="W33"/>
      <c r="X33"/>
      <c r="Y33" s="19"/>
      <c r="Z33"/>
      <c r="AA33" s="278"/>
      <c r="AB33" s="279"/>
      <c r="AC33" s="287"/>
      <c r="AF33" s="289"/>
      <c r="AG33" s="289"/>
      <c r="AH33" s="289"/>
      <c r="AI33" s="290"/>
    </row>
    <row r="34" spans="2:35" ht="13" x14ac:dyDescent="0.3">
      <c r="B34" s="13"/>
      <c r="D34" s="322"/>
      <c r="E34" s="8">
        <f t="shared" si="4"/>
        <v>27</v>
      </c>
      <c r="F34" s="335">
        <f>'4050 Mortality'!C32</f>
        <v>2.1000000000000001E-4</v>
      </c>
      <c r="G34" s="10">
        <f t="shared" si="5"/>
        <v>0.99978999999999996</v>
      </c>
      <c r="H34" s="259">
        <f t="shared" si="0"/>
        <v>0.99991249464003096</v>
      </c>
      <c r="I34" s="328"/>
      <c r="J34" s="10">
        <f t="shared" si="6"/>
        <v>1</v>
      </c>
      <c r="K34" s="256" t="str" cm="1">
        <f t="array" ref="K34">IF($E34&lt;N$6,"",INDEX('4044 Yield Curves'!$C$7:$C$66,MIN(60,2*($E34-N$6+0.5)),0))</f>
        <v/>
      </c>
      <c r="L34" s="10" t="str">
        <f t="shared" si="1"/>
        <v/>
      </c>
      <c r="M34" s="10">
        <f t="shared" si="7"/>
        <v>1</v>
      </c>
      <c r="N34" s="11">
        <f t="shared" si="2"/>
        <v>0</v>
      </c>
      <c r="O34" s="355">
        <f t="shared" si="11"/>
        <v>0</v>
      </c>
      <c r="P34" s="10">
        <f t="shared" si="8"/>
        <v>1</v>
      </c>
      <c r="Q34" s="256" t="str" cm="1">
        <f t="array" ref="Q34">IF($E34&lt;T$6,"",INDEX('4044 Yield Curves'!$C$7:$C$66,MIN(60,2*($E34-T$6+0.5)),0))</f>
        <v/>
      </c>
      <c r="R34" s="10" t="str">
        <f t="shared" si="9"/>
        <v/>
      </c>
      <c r="S34" s="10">
        <f t="shared" si="10"/>
        <v>1</v>
      </c>
      <c r="T34" s="11">
        <f t="shared" si="3"/>
        <v>0</v>
      </c>
      <c r="U34" s="355">
        <f t="shared" si="12"/>
        <v>0</v>
      </c>
      <c r="W34"/>
      <c r="X34"/>
      <c r="Y34"/>
      <c r="Z34"/>
      <c r="AA34" s="278"/>
      <c r="AB34" s="279"/>
      <c r="AC34" s="287"/>
      <c r="AF34" s="289"/>
      <c r="AG34" s="289"/>
      <c r="AH34" s="289"/>
      <c r="AI34" s="290"/>
    </row>
    <row r="35" spans="2:35" ht="13" x14ac:dyDescent="0.3">
      <c r="B35" s="13"/>
      <c r="D35" s="322"/>
      <c r="E35" s="8">
        <f t="shared" si="4"/>
        <v>28</v>
      </c>
      <c r="F35" s="335">
        <f>'4050 Mortality'!C33</f>
        <v>2.2000000000000001E-4</v>
      </c>
      <c r="G35" s="10">
        <f t="shared" si="5"/>
        <v>0.99978</v>
      </c>
      <c r="H35" s="259">
        <f t="shared" si="0"/>
        <v>0.99990832745070579</v>
      </c>
      <c r="I35" s="328"/>
      <c r="J35" s="10">
        <f t="shared" si="6"/>
        <v>1</v>
      </c>
      <c r="K35" s="256" t="str" cm="1">
        <f t="array" ref="K35">IF($E35&lt;N$6,"",INDEX('4044 Yield Curves'!$C$7:$C$66,MIN(60,2*($E35-N$6+0.5)),0))</f>
        <v/>
      </c>
      <c r="L35" s="10" t="str">
        <f t="shared" si="1"/>
        <v/>
      </c>
      <c r="M35" s="10">
        <f t="shared" si="7"/>
        <v>1</v>
      </c>
      <c r="N35" s="11">
        <f t="shared" si="2"/>
        <v>0</v>
      </c>
      <c r="O35" s="355">
        <f t="shared" si="11"/>
        <v>0</v>
      </c>
      <c r="P35" s="10">
        <f t="shared" si="8"/>
        <v>1</v>
      </c>
      <c r="Q35" s="256" t="str" cm="1">
        <f t="array" ref="Q35">IF($E35&lt;T$6,"",INDEX('4044 Yield Curves'!$C$7:$C$66,MIN(60,2*($E35-T$6+0.5)),0))</f>
        <v/>
      </c>
      <c r="R35" s="10" t="str">
        <f t="shared" si="9"/>
        <v/>
      </c>
      <c r="S35" s="10">
        <f t="shared" si="10"/>
        <v>1</v>
      </c>
      <c r="T35" s="11">
        <f t="shared" si="3"/>
        <v>0</v>
      </c>
      <c r="U35" s="355">
        <f t="shared" si="12"/>
        <v>0</v>
      </c>
      <c r="W35"/>
      <c r="X35"/>
      <c r="Y35"/>
      <c r="Z35"/>
      <c r="AA35" s="278"/>
      <c r="AB35" s="279"/>
      <c r="AC35" s="287"/>
      <c r="AF35" s="289"/>
      <c r="AG35" s="289"/>
      <c r="AH35" s="289"/>
      <c r="AI35" s="290"/>
    </row>
    <row r="36" spans="2:35" ht="13" x14ac:dyDescent="0.3">
      <c r="B36" s="13"/>
      <c r="D36" s="322"/>
      <c r="E36" s="8">
        <f t="shared" si="4"/>
        <v>29</v>
      </c>
      <c r="F36" s="335">
        <f>'4050 Mortality'!C34</f>
        <v>2.3000000000000001E-4</v>
      </c>
      <c r="G36" s="10">
        <f t="shared" si="5"/>
        <v>0.99977000000000005</v>
      </c>
      <c r="H36" s="259">
        <f t="shared" si="0"/>
        <v>0.99990416023706674</v>
      </c>
      <c r="I36" s="328"/>
      <c r="J36" s="10">
        <f t="shared" si="6"/>
        <v>1</v>
      </c>
      <c r="K36" s="256" t="str" cm="1">
        <f t="array" ref="K36">IF($E36&lt;N$6,"",INDEX('4044 Yield Curves'!$C$7:$C$66,MIN(60,2*($E36-N$6+0.5)),0))</f>
        <v/>
      </c>
      <c r="L36" s="10" t="str">
        <f t="shared" si="1"/>
        <v/>
      </c>
      <c r="M36" s="10">
        <f t="shared" si="7"/>
        <v>1</v>
      </c>
      <c r="N36" s="11">
        <f t="shared" si="2"/>
        <v>0</v>
      </c>
      <c r="O36" s="355">
        <f t="shared" si="11"/>
        <v>0</v>
      </c>
      <c r="P36" s="10">
        <f t="shared" si="8"/>
        <v>1</v>
      </c>
      <c r="Q36" s="256" t="str" cm="1">
        <f t="array" ref="Q36">IF($E36&lt;T$6,"",INDEX('4044 Yield Curves'!$C$7:$C$66,MIN(60,2*($E36-T$6+0.5)),0))</f>
        <v/>
      </c>
      <c r="R36" s="10" t="str">
        <f t="shared" si="9"/>
        <v/>
      </c>
      <c r="S36" s="10">
        <f t="shared" si="10"/>
        <v>1</v>
      </c>
      <c r="T36" s="11">
        <f t="shared" si="3"/>
        <v>0</v>
      </c>
      <c r="U36" s="355">
        <f t="shared" si="12"/>
        <v>0</v>
      </c>
      <c r="W36"/>
      <c r="X36"/>
      <c r="AF36" s="289"/>
      <c r="AG36" s="289"/>
      <c r="AH36" s="289"/>
      <c r="AI36" s="290"/>
    </row>
    <row r="37" spans="2:35" ht="13" x14ac:dyDescent="0.3">
      <c r="B37" s="13"/>
      <c r="D37" s="322"/>
      <c r="E37" s="8">
        <f t="shared" si="4"/>
        <v>30</v>
      </c>
      <c r="F37" s="335">
        <f>'4050 Mortality'!C35</f>
        <v>2.4000000000000001E-4</v>
      </c>
      <c r="G37" s="10">
        <f t="shared" si="5"/>
        <v>0.99975999999999998</v>
      </c>
      <c r="H37" s="259">
        <f t="shared" si="0"/>
        <v>0.99989999299911314</v>
      </c>
      <c r="I37" s="328"/>
      <c r="J37" s="10">
        <f t="shared" si="6"/>
        <v>1</v>
      </c>
      <c r="K37" s="256" t="str" cm="1">
        <f t="array" ref="K37">IF($E37&lt;N$6,"",INDEX('4044 Yield Curves'!$C$7:$C$66,MIN(60,2*($E37-N$6+0.5)),0))</f>
        <v/>
      </c>
      <c r="L37" s="10" t="str">
        <f t="shared" si="1"/>
        <v/>
      </c>
      <c r="M37" s="10">
        <f t="shared" si="7"/>
        <v>1</v>
      </c>
      <c r="N37" s="11">
        <f t="shared" si="2"/>
        <v>0</v>
      </c>
      <c r="O37" s="355">
        <f t="shared" si="11"/>
        <v>0</v>
      </c>
      <c r="P37" s="10">
        <f t="shared" si="8"/>
        <v>1</v>
      </c>
      <c r="Q37" s="256" t="str" cm="1">
        <f t="array" ref="Q37">IF($E37&lt;T$6,"",INDEX('4044 Yield Curves'!$C$7:$C$66,MIN(60,2*($E37-T$6+0.5)),0))</f>
        <v/>
      </c>
      <c r="R37" s="10" t="str">
        <f t="shared" si="9"/>
        <v/>
      </c>
      <c r="S37" s="10">
        <f t="shared" si="10"/>
        <v>1</v>
      </c>
      <c r="T37" s="11">
        <f t="shared" si="3"/>
        <v>0</v>
      </c>
      <c r="U37" s="355">
        <f t="shared" si="12"/>
        <v>0</v>
      </c>
      <c r="W37"/>
      <c r="X37"/>
      <c r="AF37" s="289"/>
      <c r="AG37" s="289"/>
      <c r="AH37" s="289"/>
      <c r="AI37" s="290"/>
    </row>
    <row r="38" spans="2:35" ht="13" x14ac:dyDescent="0.3">
      <c r="B38" s="13"/>
      <c r="D38" s="322"/>
      <c r="E38" s="8">
        <f t="shared" si="4"/>
        <v>31</v>
      </c>
      <c r="F38" s="335">
        <f>'4050 Mortality'!C36</f>
        <v>2.5999999999999998E-4</v>
      </c>
      <c r="G38" s="10">
        <f t="shared" si="5"/>
        <v>0.99973999999999996</v>
      </c>
      <c r="H38" s="259">
        <f t="shared" si="0"/>
        <v>0.9998916584502614</v>
      </c>
      <c r="I38" s="328"/>
      <c r="J38" s="10">
        <f t="shared" si="6"/>
        <v>1</v>
      </c>
      <c r="K38" s="256" t="str" cm="1">
        <f t="array" ref="K38">IF($E38&lt;N$6,"",INDEX('4044 Yield Curves'!$C$7:$C$66,MIN(60,2*($E38-N$6+0.5)),0))</f>
        <v/>
      </c>
      <c r="L38" s="10" t="str">
        <f t="shared" si="1"/>
        <v/>
      </c>
      <c r="M38" s="10">
        <f t="shared" si="7"/>
        <v>1</v>
      </c>
      <c r="N38" s="11">
        <f t="shared" si="2"/>
        <v>0</v>
      </c>
      <c r="O38" s="355">
        <f t="shared" si="11"/>
        <v>0</v>
      </c>
      <c r="P38" s="10">
        <f t="shared" si="8"/>
        <v>1</v>
      </c>
      <c r="Q38" s="256" t="str" cm="1">
        <f t="array" ref="Q38">IF($E38&lt;T$6,"",INDEX('4044 Yield Curves'!$C$7:$C$66,MIN(60,2*($E38-T$6+0.5)),0))</f>
        <v/>
      </c>
      <c r="R38" s="10" t="str">
        <f t="shared" si="9"/>
        <v/>
      </c>
      <c r="S38" s="10">
        <f t="shared" si="10"/>
        <v>1</v>
      </c>
      <c r="T38" s="11">
        <f t="shared" si="3"/>
        <v>0</v>
      </c>
      <c r="U38" s="355">
        <f t="shared" si="12"/>
        <v>0</v>
      </c>
      <c r="W38"/>
      <c r="X38"/>
      <c r="AF38" s="289"/>
      <c r="AG38" s="289"/>
      <c r="AH38" s="289"/>
      <c r="AI38" s="290"/>
    </row>
    <row r="39" spans="2:35" ht="13" x14ac:dyDescent="0.3">
      <c r="B39" s="13"/>
      <c r="D39" s="322"/>
      <c r="E39" s="8">
        <f t="shared" si="4"/>
        <v>32</v>
      </c>
      <c r="F39" s="335">
        <f>'4050 Mortality'!C37</f>
        <v>2.7E-4</v>
      </c>
      <c r="G39" s="10">
        <f t="shared" si="5"/>
        <v>0.99973000000000001</v>
      </c>
      <c r="H39" s="259">
        <f t="shared" si="0"/>
        <v>0.99988749113936237</v>
      </c>
      <c r="I39" s="328"/>
      <c r="J39" s="10">
        <f t="shared" si="6"/>
        <v>1</v>
      </c>
      <c r="K39" s="256" t="str" cm="1">
        <f t="array" ref="K39">IF($E39&lt;N$6,"",INDEX('4044 Yield Curves'!$C$7:$C$66,MIN(60,2*($E39-N$6+0.5)),0))</f>
        <v/>
      </c>
      <c r="L39" s="10" t="str">
        <f t="shared" ref="L39:L70" si="13">IF($E39&lt;N$6,"",(N$6-$E39-11/24))</f>
        <v/>
      </c>
      <c r="M39" s="10">
        <f t="shared" si="7"/>
        <v>1</v>
      </c>
      <c r="N39" s="11">
        <f t="shared" ref="N39:N70" si="14">IF($E39&gt;=N$6,1,0)</f>
        <v>0</v>
      </c>
      <c r="O39" s="355">
        <f t="shared" si="11"/>
        <v>0</v>
      </c>
      <c r="P39" s="10">
        <f t="shared" si="8"/>
        <v>1</v>
      </c>
      <c r="Q39" s="256" t="str" cm="1">
        <f t="array" ref="Q39">IF($E39&lt;T$6,"",INDEX('4044 Yield Curves'!$C$7:$C$66,MIN(60,2*($E39-T$6+0.5)),0))</f>
        <v/>
      </c>
      <c r="R39" s="10" t="str">
        <f t="shared" si="9"/>
        <v/>
      </c>
      <c r="S39" s="10">
        <f t="shared" si="10"/>
        <v>1</v>
      </c>
      <c r="T39" s="11">
        <f t="shared" ref="T39:T70" si="15">IF($E39&gt;=T$6,1,0)</f>
        <v>0</v>
      </c>
      <c r="U39" s="355">
        <f t="shared" si="12"/>
        <v>0</v>
      </c>
      <c r="W39"/>
      <c r="X39"/>
      <c r="AF39" s="289"/>
      <c r="AG39" s="289"/>
      <c r="AH39" s="289"/>
      <c r="AI39" s="290"/>
    </row>
    <row r="40" spans="2:35" ht="13" x14ac:dyDescent="0.3">
      <c r="B40" s="13"/>
      <c r="D40" s="322"/>
      <c r="E40" s="8">
        <f t="shared" si="4"/>
        <v>33</v>
      </c>
      <c r="F40" s="335">
        <f>'4050 Mortality'!C38</f>
        <v>2.9999999999999997E-4</v>
      </c>
      <c r="G40" s="10">
        <f t="shared" si="5"/>
        <v>0.99970000000000003</v>
      </c>
      <c r="H40" s="259">
        <f t="shared" si="0"/>
        <v>0.99987498906076788</v>
      </c>
      <c r="I40" s="328"/>
      <c r="J40" s="10">
        <f t="shared" ref="J40:J71" si="16">IF($E39&lt;$A$5,1,J39*$G39)</f>
        <v>1</v>
      </c>
      <c r="K40" s="256" t="str" cm="1">
        <f t="array" ref="K40">IF($E40&lt;N$6,"",INDEX('4044 Yield Curves'!$C$7:$C$66,MIN(60,2*($E40-N$6+0.5)),0))</f>
        <v/>
      </c>
      <c r="L40" s="10" t="str">
        <f t="shared" si="13"/>
        <v/>
      </c>
      <c r="M40" s="10">
        <f t="shared" ref="M40:M71" si="17">IF($E40&lt;N$6,1,(1+K40)^L40)</f>
        <v>1</v>
      </c>
      <c r="N40" s="11">
        <f t="shared" si="14"/>
        <v>0</v>
      </c>
      <c r="O40" s="355">
        <f t="shared" si="11"/>
        <v>0</v>
      </c>
      <c r="P40" s="10">
        <f t="shared" ref="P40:P71" si="18">IF($E39&lt;$A$6,1,P39*$G39)</f>
        <v>1</v>
      </c>
      <c r="Q40" s="256" t="str" cm="1">
        <f t="array" ref="Q40">IF($E40&lt;T$6,"",INDEX('4044 Yield Curves'!$C$7:$C$66,MIN(60,2*($E40-T$6+0.5)),0))</f>
        <v/>
      </c>
      <c r="R40" s="10" t="str">
        <f t="shared" ref="R40:R71" si="19">IF($E40&lt;T$6,"",(T$6-$E40-11/24))</f>
        <v/>
      </c>
      <c r="S40" s="10">
        <f t="shared" ref="S40:S71" si="20">IF($E40&lt;T$6,1,(1+Q40)^R40)</f>
        <v>1</v>
      </c>
      <c r="T40" s="11">
        <f t="shared" si="15"/>
        <v>0</v>
      </c>
      <c r="U40" s="355">
        <f t="shared" si="12"/>
        <v>0</v>
      </c>
      <c r="W40"/>
      <c r="X40"/>
      <c r="AF40" s="289"/>
      <c r="AG40" s="289"/>
      <c r="AH40" s="289"/>
      <c r="AI40" s="290"/>
    </row>
    <row r="41" spans="2:35" ht="13" x14ac:dyDescent="0.3">
      <c r="B41" s="13"/>
      <c r="D41" s="322"/>
      <c r="E41" s="8">
        <f t="shared" si="4"/>
        <v>34</v>
      </c>
      <c r="F41" s="335">
        <f>'4050 Mortality'!C39</f>
        <v>3.1E-4</v>
      </c>
      <c r="G41" s="10">
        <f t="shared" si="5"/>
        <v>0.99968999999999997</v>
      </c>
      <c r="H41" s="259">
        <f t="shared" si="0"/>
        <v>0.99987082165260266</v>
      </c>
      <c r="I41" s="328"/>
      <c r="J41" s="10">
        <f t="shared" si="16"/>
        <v>1</v>
      </c>
      <c r="K41" s="256" t="str" cm="1">
        <f t="array" ref="K41">IF($E41&lt;N$6,"",INDEX('4044 Yield Curves'!$C$7:$C$66,MIN(60,2*($E41-N$6+0.5)),0))</f>
        <v/>
      </c>
      <c r="L41" s="10" t="str">
        <f t="shared" si="13"/>
        <v/>
      </c>
      <c r="M41" s="10">
        <f t="shared" si="17"/>
        <v>1</v>
      </c>
      <c r="N41" s="11">
        <f t="shared" si="14"/>
        <v>0</v>
      </c>
      <c r="O41" s="355">
        <f t="shared" ref="O41:O72" si="21">O40+N40</f>
        <v>0</v>
      </c>
      <c r="P41" s="10">
        <f t="shared" si="18"/>
        <v>1</v>
      </c>
      <c r="Q41" s="256" t="str" cm="1">
        <f t="array" ref="Q41">IF($E41&lt;T$6,"",INDEX('4044 Yield Curves'!$C$7:$C$66,MIN(60,2*($E41-T$6+0.5)),0))</f>
        <v/>
      </c>
      <c r="R41" s="10" t="str">
        <f t="shared" si="19"/>
        <v/>
      </c>
      <c r="S41" s="10">
        <f t="shared" si="20"/>
        <v>1</v>
      </c>
      <c r="T41" s="11">
        <f t="shared" si="15"/>
        <v>0</v>
      </c>
      <c r="U41" s="355">
        <f t="shared" ref="U41:U72" si="22">U40+T40</f>
        <v>0</v>
      </c>
      <c r="W41"/>
      <c r="X41"/>
      <c r="AF41" s="289"/>
      <c r="AG41" s="289"/>
      <c r="AH41" s="289"/>
      <c r="AI41" s="290"/>
    </row>
    <row r="42" spans="2:35" ht="13" x14ac:dyDescent="0.3">
      <c r="B42" s="13"/>
      <c r="D42" s="322"/>
      <c r="E42" s="8">
        <f t="shared" si="4"/>
        <v>35</v>
      </c>
      <c r="F42" s="335">
        <f>'4050 Mortality'!C40</f>
        <v>3.3E-4</v>
      </c>
      <c r="G42" s="10">
        <f t="shared" si="5"/>
        <v>0.99966999999999995</v>
      </c>
      <c r="H42" s="259">
        <f t="shared" si="0"/>
        <v>0.99986248676331946</v>
      </c>
      <c r="I42" s="328"/>
      <c r="J42" s="10">
        <f t="shared" si="16"/>
        <v>1</v>
      </c>
      <c r="K42" s="256" t="str" cm="1">
        <f t="array" ref="K42">IF($E42&lt;N$6,"",INDEX('4044 Yield Curves'!$C$7:$C$66,MIN(60,2*($E42-N$6+0.5)),0))</f>
        <v/>
      </c>
      <c r="L42" s="10" t="str">
        <f t="shared" si="13"/>
        <v/>
      </c>
      <c r="M42" s="10">
        <f t="shared" si="17"/>
        <v>1</v>
      </c>
      <c r="N42" s="11">
        <f t="shared" si="14"/>
        <v>0</v>
      </c>
      <c r="O42" s="355">
        <f t="shared" si="21"/>
        <v>0</v>
      </c>
      <c r="P42" s="10">
        <f t="shared" si="18"/>
        <v>1</v>
      </c>
      <c r="Q42" s="256" t="str" cm="1">
        <f t="array" ref="Q42">IF($E42&lt;T$6,"",INDEX('4044 Yield Curves'!$C$7:$C$66,MIN(60,2*($E42-T$6+0.5)),0))</f>
        <v/>
      </c>
      <c r="R42" s="10" t="str">
        <f t="shared" si="19"/>
        <v/>
      </c>
      <c r="S42" s="10">
        <f t="shared" si="20"/>
        <v>1</v>
      </c>
      <c r="T42" s="11">
        <f t="shared" si="15"/>
        <v>0</v>
      </c>
      <c r="U42" s="355">
        <f t="shared" si="22"/>
        <v>0</v>
      </c>
      <c r="W42"/>
      <c r="X42"/>
      <c r="AF42" s="289"/>
      <c r="AG42" s="289"/>
      <c r="AH42" s="289"/>
      <c r="AI42" s="290"/>
    </row>
    <row r="43" spans="2:35" ht="13" x14ac:dyDescent="0.3">
      <c r="B43" s="13"/>
      <c r="D43" s="322"/>
      <c r="E43" s="8">
        <f t="shared" si="4"/>
        <v>36</v>
      </c>
      <c r="F43" s="335">
        <f>'4050 Mortality'!C41</f>
        <v>3.5E-4</v>
      </c>
      <c r="G43" s="10">
        <f t="shared" si="5"/>
        <v>0.99965000000000004</v>
      </c>
      <c r="H43" s="259">
        <f t="shared" si="0"/>
        <v>0.99985415177676329</v>
      </c>
      <c r="I43" s="328"/>
      <c r="J43" s="10">
        <f t="shared" si="16"/>
        <v>1</v>
      </c>
      <c r="K43" s="256" t="str" cm="1">
        <f t="array" ref="K43">IF($E43&lt;N$6,"",INDEX('4044 Yield Curves'!$C$7:$C$66,MIN(60,2*($E43-N$6+0.5)),0))</f>
        <v/>
      </c>
      <c r="L43" s="10" t="str">
        <f t="shared" si="13"/>
        <v/>
      </c>
      <c r="M43" s="10">
        <f t="shared" si="17"/>
        <v>1</v>
      </c>
      <c r="N43" s="11">
        <f t="shared" si="14"/>
        <v>0</v>
      </c>
      <c r="O43" s="355">
        <f t="shared" si="21"/>
        <v>0</v>
      </c>
      <c r="P43" s="10">
        <f t="shared" si="18"/>
        <v>1</v>
      </c>
      <c r="Q43" s="256" t="str" cm="1">
        <f t="array" ref="Q43">IF($E43&lt;T$6,"",INDEX('4044 Yield Curves'!$C$7:$C$66,MIN(60,2*($E43-T$6+0.5)),0))</f>
        <v/>
      </c>
      <c r="R43" s="10" t="str">
        <f t="shared" si="19"/>
        <v/>
      </c>
      <c r="S43" s="10">
        <f t="shared" si="20"/>
        <v>1</v>
      </c>
      <c r="T43" s="11">
        <f t="shared" si="15"/>
        <v>0</v>
      </c>
      <c r="U43" s="355">
        <f t="shared" si="22"/>
        <v>0</v>
      </c>
      <c r="W43"/>
      <c r="X43"/>
      <c r="AF43" s="289"/>
      <c r="AG43" s="289"/>
      <c r="AH43" s="289"/>
      <c r="AI43" s="290"/>
    </row>
    <row r="44" spans="2:35" ht="13" x14ac:dyDescent="0.3">
      <c r="B44" s="13"/>
      <c r="D44" s="322"/>
      <c r="E44" s="8">
        <f t="shared" si="4"/>
        <v>37</v>
      </c>
      <c r="F44" s="335">
        <f>'4050 Mortality'!C42</f>
        <v>3.6999999999999999E-4</v>
      </c>
      <c r="G44" s="10">
        <f t="shared" si="5"/>
        <v>0.99963000000000002</v>
      </c>
      <c r="H44" s="259">
        <f t="shared" si="0"/>
        <v>0.99984581669293093</v>
      </c>
      <c r="I44" s="328"/>
      <c r="J44" s="10">
        <f t="shared" si="16"/>
        <v>1</v>
      </c>
      <c r="K44" s="256" t="str" cm="1">
        <f t="array" ref="K44">IF($E44&lt;N$6,"",INDEX('4044 Yield Curves'!$C$7:$C$66,MIN(60,2*($E44-N$6+0.5)),0))</f>
        <v/>
      </c>
      <c r="L44" s="10" t="str">
        <f t="shared" si="13"/>
        <v/>
      </c>
      <c r="M44" s="10">
        <f t="shared" si="17"/>
        <v>1</v>
      </c>
      <c r="N44" s="11">
        <f t="shared" si="14"/>
        <v>0</v>
      </c>
      <c r="O44" s="355">
        <f t="shared" si="21"/>
        <v>0</v>
      </c>
      <c r="P44" s="10">
        <f t="shared" si="18"/>
        <v>1</v>
      </c>
      <c r="Q44" s="256" t="str" cm="1">
        <f t="array" ref="Q44">IF($E44&lt;T$6,"",INDEX('4044 Yield Curves'!$C$7:$C$66,MIN(60,2*($E44-T$6+0.5)),0))</f>
        <v/>
      </c>
      <c r="R44" s="10" t="str">
        <f t="shared" si="19"/>
        <v/>
      </c>
      <c r="S44" s="10">
        <f t="shared" si="20"/>
        <v>1</v>
      </c>
      <c r="T44" s="11">
        <f t="shared" si="15"/>
        <v>0</v>
      </c>
      <c r="U44" s="355">
        <f t="shared" si="22"/>
        <v>0</v>
      </c>
      <c r="W44"/>
      <c r="X44"/>
    </row>
    <row r="45" spans="2:35" ht="13" x14ac:dyDescent="0.3">
      <c r="B45" s="13"/>
      <c r="D45" s="322"/>
      <c r="E45" s="8">
        <f t="shared" si="4"/>
        <v>38</v>
      </c>
      <c r="F45" s="335">
        <f>'4050 Mortality'!C43</f>
        <v>3.8999999999999999E-4</v>
      </c>
      <c r="G45" s="10">
        <f t="shared" si="5"/>
        <v>0.99961</v>
      </c>
      <c r="H45" s="259">
        <f t="shared" si="0"/>
        <v>0.99983748151181939</v>
      </c>
      <c r="I45" s="328"/>
      <c r="J45" s="10">
        <f t="shared" si="16"/>
        <v>1</v>
      </c>
      <c r="K45" s="256" t="str" cm="1">
        <f t="array" ref="K45">IF($E45&lt;N$6,"",INDEX('4044 Yield Curves'!$C$7:$C$66,MIN(60,2*($E45-N$6+0.5)),0))</f>
        <v/>
      </c>
      <c r="L45" s="10" t="str">
        <f t="shared" si="13"/>
        <v/>
      </c>
      <c r="M45" s="10">
        <f t="shared" si="17"/>
        <v>1</v>
      </c>
      <c r="N45" s="11">
        <f t="shared" si="14"/>
        <v>0</v>
      </c>
      <c r="O45" s="355">
        <f t="shared" si="21"/>
        <v>0</v>
      </c>
      <c r="P45" s="10">
        <f t="shared" si="18"/>
        <v>1</v>
      </c>
      <c r="Q45" s="256" t="str" cm="1">
        <f t="array" ref="Q45">IF($E45&lt;T$6,"",INDEX('4044 Yield Curves'!$C$7:$C$66,MIN(60,2*($E45-T$6+0.5)),0))</f>
        <v/>
      </c>
      <c r="R45" s="10" t="str">
        <f t="shared" si="19"/>
        <v/>
      </c>
      <c r="S45" s="10">
        <f t="shared" si="20"/>
        <v>1</v>
      </c>
      <c r="T45" s="11">
        <f t="shared" si="15"/>
        <v>0</v>
      </c>
      <c r="U45" s="355">
        <f t="shared" si="22"/>
        <v>0</v>
      </c>
      <c r="W45"/>
      <c r="X45"/>
    </row>
    <row r="46" spans="2:35" ht="13" x14ac:dyDescent="0.3">
      <c r="B46" s="13"/>
      <c r="D46" s="322"/>
      <c r="E46" s="8">
        <f t="shared" si="4"/>
        <v>39</v>
      </c>
      <c r="F46" s="335">
        <f>'4050 Mortality'!C44</f>
        <v>4.0999999999999999E-4</v>
      </c>
      <c r="G46" s="10">
        <f t="shared" si="5"/>
        <v>0.99958999999999998</v>
      </c>
      <c r="H46" s="259">
        <f t="shared" si="0"/>
        <v>0.99982914623342545</v>
      </c>
      <c r="I46" s="328"/>
      <c r="J46" s="10">
        <f t="shared" si="16"/>
        <v>1</v>
      </c>
      <c r="K46" s="256" t="str" cm="1">
        <f t="array" ref="K46">IF($E46&lt;N$6,"",INDEX('4044 Yield Curves'!$C$7:$C$66,MIN(60,2*($E46-N$6+0.5)),0))</f>
        <v/>
      </c>
      <c r="L46" s="10" t="str">
        <f t="shared" si="13"/>
        <v/>
      </c>
      <c r="M46" s="10">
        <f t="shared" si="17"/>
        <v>1</v>
      </c>
      <c r="N46" s="11">
        <f t="shared" si="14"/>
        <v>0</v>
      </c>
      <c r="O46" s="355">
        <f t="shared" si="21"/>
        <v>0</v>
      </c>
      <c r="P46" s="10">
        <f t="shared" si="18"/>
        <v>1</v>
      </c>
      <c r="Q46" s="256" t="str" cm="1">
        <f t="array" ref="Q46">IF($E46&lt;T$6,"",INDEX('4044 Yield Curves'!$C$7:$C$66,MIN(60,2*($E46-T$6+0.5)),0))</f>
        <v/>
      </c>
      <c r="R46" s="10" t="str">
        <f t="shared" si="19"/>
        <v/>
      </c>
      <c r="S46" s="10">
        <f t="shared" si="20"/>
        <v>1</v>
      </c>
      <c r="T46" s="11">
        <f t="shared" si="15"/>
        <v>0</v>
      </c>
      <c r="U46" s="355">
        <f t="shared" si="22"/>
        <v>0</v>
      </c>
      <c r="W46"/>
      <c r="X46"/>
    </row>
    <row r="47" spans="2:35" ht="13" x14ac:dyDescent="0.3">
      <c r="B47" s="13"/>
      <c r="D47" s="322"/>
      <c r="E47" s="8">
        <f t="shared" si="4"/>
        <v>40</v>
      </c>
      <c r="F47" s="335">
        <f>'4050 Mortality'!C45</f>
        <v>4.2999999999999999E-4</v>
      </c>
      <c r="G47" s="10">
        <f t="shared" si="5"/>
        <v>0.99956999999999996</v>
      </c>
      <c r="H47" s="259">
        <f t="shared" si="0"/>
        <v>0.99982081085774621</v>
      </c>
      <c r="I47" s="328"/>
      <c r="J47" s="10">
        <f t="shared" si="16"/>
        <v>1</v>
      </c>
      <c r="K47" s="256" t="str" cm="1">
        <f t="array" ref="K47">IF($E47&lt;N$6,"",INDEX('4044 Yield Curves'!$C$7:$C$66,MIN(60,2*($E47-N$6+0.5)),0))</f>
        <v/>
      </c>
      <c r="L47" s="10" t="str">
        <f t="shared" si="13"/>
        <v/>
      </c>
      <c r="M47" s="10">
        <f t="shared" si="17"/>
        <v>1</v>
      </c>
      <c r="N47" s="11">
        <f t="shared" si="14"/>
        <v>0</v>
      </c>
      <c r="O47" s="355">
        <f t="shared" si="21"/>
        <v>0</v>
      </c>
      <c r="P47" s="10">
        <f t="shared" si="18"/>
        <v>1</v>
      </c>
      <c r="Q47" s="256" t="str" cm="1">
        <f t="array" ref="Q47">IF($E47&lt;T$6,"",INDEX('4044 Yield Curves'!$C$7:$C$66,MIN(60,2*($E47-T$6+0.5)),0))</f>
        <v/>
      </c>
      <c r="R47" s="10" t="str">
        <f t="shared" si="19"/>
        <v/>
      </c>
      <c r="S47" s="10">
        <f t="shared" si="20"/>
        <v>1</v>
      </c>
      <c r="T47" s="11">
        <f t="shared" si="15"/>
        <v>0</v>
      </c>
      <c r="U47" s="355">
        <f t="shared" si="22"/>
        <v>0</v>
      </c>
      <c r="W47"/>
      <c r="X47"/>
    </row>
    <row r="48" spans="2:35" ht="13" x14ac:dyDescent="0.3">
      <c r="B48" s="13"/>
      <c r="D48" s="322"/>
      <c r="E48" s="8">
        <f t="shared" si="4"/>
        <v>41</v>
      </c>
      <c r="F48" s="335">
        <f>'4050 Mortality'!C46</f>
        <v>4.4000000000000002E-4</v>
      </c>
      <c r="G48" s="10">
        <f t="shared" si="5"/>
        <v>0.99956</v>
      </c>
      <c r="H48" s="259">
        <f t="shared" si="0"/>
        <v>0.99981664313342367</v>
      </c>
      <c r="I48" s="328"/>
      <c r="J48" s="10">
        <f t="shared" si="16"/>
        <v>1</v>
      </c>
      <c r="K48" s="256" t="str" cm="1">
        <f t="array" ref="K48">IF($E48&lt;N$6,"",INDEX('4044 Yield Curves'!$C$7:$C$66,MIN(60,2*($E48-N$6+0.5)),0))</f>
        <v/>
      </c>
      <c r="L48" s="10" t="str">
        <f t="shared" si="13"/>
        <v/>
      </c>
      <c r="M48" s="10">
        <f t="shared" si="17"/>
        <v>1</v>
      </c>
      <c r="N48" s="11">
        <f t="shared" si="14"/>
        <v>0</v>
      </c>
      <c r="O48" s="355">
        <f t="shared" si="21"/>
        <v>0</v>
      </c>
      <c r="P48" s="10">
        <f t="shared" si="18"/>
        <v>1</v>
      </c>
      <c r="Q48" s="256" t="str" cm="1">
        <f t="array" ref="Q48">IF($E48&lt;T$6,"",INDEX('4044 Yield Curves'!$C$7:$C$66,MIN(60,2*($E48-T$6+0.5)),0))</f>
        <v/>
      </c>
      <c r="R48" s="10" t="str">
        <f t="shared" si="19"/>
        <v/>
      </c>
      <c r="S48" s="10">
        <f t="shared" si="20"/>
        <v>1</v>
      </c>
      <c r="T48" s="11">
        <f t="shared" si="15"/>
        <v>0</v>
      </c>
      <c r="U48" s="355">
        <f t="shared" si="22"/>
        <v>0</v>
      </c>
      <c r="W48"/>
      <c r="X48"/>
    </row>
    <row r="49" spans="2:24" ht="13" x14ac:dyDescent="0.3">
      <c r="B49" s="13"/>
      <c r="D49" s="322"/>
      <c r="E49" s="8">
        <f t="shared" si="4"/>
        <v>42</v>
      </c>
      <c r="F49" s="335">
        <f>'4050 Mortality'!C47</f>
        <v>4.6000000000000001E-4</v>
      </c>
      <c r="G49" s="10">
        <f t="shared" si="5"/>
        <v>0.99953999999999998</v>
      </c>
      <c r="H49" s="259">
        <f t="shared" si="0"/>
        <v>0.99980830761181061</v>
      </c>
      <c r="I49" s="328"/>
      <c r="J49" s="10">
        <f t="shared" si="16"/>
        <v>1</v>
      </c>
      <c r="K49" s="256" t="str" cm="1">
        <f t="array" ref="K49">IF($E49&lt;N$6,"",INDEX('4044 Yield Curves'!$C$7:$C$66,MIN(60,2*($E49-N$6+0.5)),0))</f>
        <v/>
      </c>
      <c r="L49" s="10" t="str">
        <f t="shared" si="13"/>
        <v/>
      </c>
      <c r="M49" s="10">
        <f t="shared" si="17"/>
        <v>1</v>
      </c>
      <c r="N49" s="11">
        <f t="shared" si="14"/>
        <v>0</v>
      </c>
      <c r="O49" s="355">
        <f t="shared" si="21"/>
        <v>0</v>
      </c>
      <c r="P49" s="10">
        <f t="shared" si="18"/>
        <v>1</v>
      </c>
      <c r="Q49" s="256" t="str" cm="1">
        <f t="array" ref="Q49">IF($E49&lt;T$6,"",INDEX('4044 Yield Curves'!$C$7:$C$66,MIN(60,2*($E49-T$6+0.5)),0))</f>
        <v/>
      </c>
      <c r="R49" s="10" t="str">
        <f t="shared" si="19"/>
        <v/>
      </c>
      <c r="S49" s="10">
        <f t="shared" si="20"/>
        <v>1</v>
      </c>
      <c r="T49" s="11">
        <f t="shared" si="15"/>
        <v>0</v>
      </c>
      <c r="U49" s="355">
        <f t="shared" si="22"/>
        <v>0</v>
      </c>
      <c r="W49"/>
      <c r="X49"/>
    </row>
    <row r="50" spans="2:24" ht="13" x14ac:dyDescent="0.3">
      <c r="B50" s="13"/>
      <c r="D50" s="322"/>
      <c r="E50" s="8">
        <f t="shared" si="4"/>
        <v>43</v>
      </c>
      <c r="F50" s="335">
        <f>'4050 Mortality'!C48</f>
        <v>4.8000000000000001E-4</v>
      </c>
      <c r="G50" s="10">
        <f t="shared" si="5"/>
        <v>0.99951999999999996</v>
      </c>
      <c r="H50" s="259">
        <f t="shared" si="0"/>
        <v>0.99979997199290449</v>
      </c>
      <c r="I50" s="328"/>
      <c r="J50" s="10">
        <f t="shared" si="16"/>
        <v>1</v>
      </c>
      <c r="K50" s="256" t="str" cm="1">
        <f t="array" ref="K50">IF($E50&lt;N$6,"",INDEX('4044 Yield Curves'!$C$7:$C$66,MIN(60,2*($E50-N$6+0.5)),0))</f>
        <v/>
      </c>
      <c r="L50" s="10" t="str">
        <f t="shared" si="13"/>
        <v/>
      </c>
      <c r="M50" s="10">
        <f t="shared" si="17"/>
        <v>1</v>
      </c>
      <c r="N50" s="11">
        <f t="shared" si="14"/>
        <v>0</v>
      </c>
      <c r="O50" s="355">
        <f t="shared" si="21"/>
        <v>0</v>
      </c>
      <c r="P50" s="10">
        <f t="shared" si="18"/>
        <v>1</v>
      </c>
      <c r="Q50" s="256" t="str" cm="1">
        <f t="array" ref="Q50">IF($E50&lt;T$6,"",INDEX('4044 Yield Curves'!$C$7:$C$66,MIN(60,2*($E50-T$6+0.5)),0))</f>
        <v/>
      </c>
      <c r="R50" s="10" t="str">
        <f t="shared" si="19"/>
        <v/>
      </c>
      <c r="S50" s="10">
        <f t="shared" si="20"/>
        <v>1</v>
      </c>
      <c r="T50" s="11">
        <f t="shared" si="15"/>
        <v>0</v>
      </c>
      <c r="U50" s="355">
        <f t="shared" si="22"/>
        <v>0</v>
      </c>
      <c r="W50"/>
      <c r="X50"/>
    </row>
    <row r="51" spans="2:24" ht="13" x14ac:dyDescent="0.3">
      <c r="B51" s="13"/>
      <c r="D51" s="322"/>
      <c r="E51" s="8">
        <f t="shared" si="4"/>
        <v>44</v>
      </c>
      <c r="F51" s="335">
        <f>'4050 Mortality'!C49</f>
        <v>5.0000000000000001E-4</v>
      </c>
      <c r="G51" s="10">
        <f t="shared" si="5"/>
        <v>0.99950000000000006</v>
      </c>
      <c r="H51" s="259">
        <f t="shared" si="0"/>
        <v>0.9997916362767022</v>
      </c>
      <c r="I51" s="328"/>
      <c r="J51" s="10">
        <f t="shared" si="16"/>
        <v>1</v>
      </c>
      <c r="K51" s="256" t="str" cm="1">
        <f t="array" ref="K51">IF($E51&lt;N$6,"",INDEX('4044 Yield Curves'!$C$7:$C$66,MIN(60,2*($E51-N$6+0.5)),0))</f>
        <v/>
      </c>
      <c r="L51" s="10" t="str">
        <f t="shared" si="13"/>
        <v/>
      </c>
      <c r="M51" s="10">
        <f t="shared" si="17"/>
        <v>1</v>
      </c>
      <c r="N51" s="11">
        <f t="shared" si="14"/>
        <v>0</v>
      </c>
      <c r="O51" s="355">
        <f t="shared" si="21"/>
        <v>0</v>
      </c>
      <c r="P51" s="10">
        <f t="shared" si="18"/>
        <v>1</v>
      </c>
      <c r="Q51" s="256" t="str" cm="1">
        <f t="array" ref="Q51">IF($E51&lt;T$6,"",INDEX('4044 Yield Curves'!$C$7:$C$66,MIN(60,2*($E51-T$6+0.5)),0))</f>
        <v/>
      </c>
      <c r="R51" s="10" t="str">
        <f t="shared" si="19"/>
        <v/>
      </c>
      <c r="S51" s="10">
        <f t="shared" si="20"/>
        <v>1</v>
      </c>
      <c r="T51" s="11">
        <f t="shared" si="15"/>
        <v>0</v>
      </c>
      <c r="U51" s="355">
        <f t="shared" si="22"/>
        <v>0</v>
      </c>
      <c r="W51"/>
      <c r="X51"/>
    </row>
    <row r="52" spans="2:24" ht="13" x14ac:dyDescent="0.3">
      <c r="B52" s="13"/>
      <c r="D52" s="322"/>
      <c r="E52" s="8">
        <f t="shared" si="4"/>
        <v>45</v>
      </c>
      <c r="F52" s="335">
        <f>'4050 Mortality'!C50</f>
        <v>5.1999999999999995E-4</v>
      </c>
      <c r="G52" s="10">
        <f t="shared" si="5"/>
        <v>0.99948000000000004</v>
      </c>
      <c r="H52" s="259">
        <f t="shared" si="0"/>
        <v>0.99978330046320063</v>
      </c>
      <c r="I52" s="328"/>
      <c r="J52" s="10">
        <f t="shared" si="16"/>
        <v>1</v>
      </c>
      <c r="K52" s="256" t="str" cm="1">
        <f t="array" ref="K52">IF($E52&lt;N$6,"",INDEX('4044 Yield Curves'!$C$7:$C$66,MIN(60,2*($E52-N$6+0.5)),0))</f>
        <v/>
      </c>
      <c r="L52" s="10" t="str">
        <f t="shared" si="13"/>
        <v/>
      </c>
      <c r="M52" s="10">
        <f t="shared" si="17"/>
        <v>1</v>
      </c>
      <c r="N52" s="11">
        <f t="shared" si="14"/>
        <v>0</v>
      </c>
      <c r="O52" s="355">
        <f t="shared" si="21"/>
        <v>0</v>
      </c>
      <c r="P52" s="10">
        <f t="shared" si="18"/>
        <v>1</v>
      </c>
      <c r="Q52" s="256" t="str" cm="1">
        <f t="array" ref="Q52">IF($E52&lt;T$6,"",INDEX('4044 Yield Curves'!$C$7:$C$66,MIN(60,2*($E52-T$6+0.5)),0))</f>
        <v/>
      </c>
      <c r="R52" s="10" t="str">
        <f t="shared" si="19"/>
        <v/>
      </c>
      <c r="S52" s="10">
        <f t="shared" si="20"/>
        <v>1</v>
      </c>
      <c r="T52" s="11">
        <f t="shared" si="15"/>
        <v>0</v>
      </c>
      <c r="U52" s="355">
        <f t="shared" si="22"/>
        <v>0</v>
      </c>
      <c r="W52"/>
      <c r="X52"/>
    </row>
    <row r="53" spans="2:24" ht="13" x14ac:dyDescent="0.3">
      <c r="B53" s="13"/>
      <c r="D53" s="322"/>
      <c r="E53" s="8">
        <f t="shared" si="4"/>
        <v>46</v>
      </c>
      <c r="F53" s="335">
        <f>'4050 Mortality'!C51</f>
        <v>5.5999999999999995E-4</v>
      </c>
      <c r="G53" s="10">
        <f t="shared" si="5"/>
        <v>0.99944</v>
      </c>
      <c r="H53" s="259">
        <f t="shared" si="0"/>
        <v>0.99976662854428755</v>
      </c>
      <c r="I53" s="328"/>
      <c r="J53" s="10">
        <f t="shared" si="16"/>
        <v>1</v>
      </c>
      <c r="K53" s="256" t="str" cm="1">
        <f t="array" ref="K53">IF($E53&lt;N$6,"",INDEX('4044 Yield Curves'!$C$7:$C$66,MIN(60,2*($E53-N$6+0.5)),0))</f>
        <v/>
      </c>
      <c r="L53" s="10" t="str">
        <f t="shared" si="13"/>
        <v/>
      </c>
      <c r="M53" s="10">
        <f t="shared" si="17"/>
        <v>1</v>
      </c>
      <c r="N53" s="11">
        <f t="shared" si="14"/>
        <v>0</v>
      </c>
      <c r="O53" s="355">
        <f t="shared" si="21"/>
        <v>0</v>
      </c>
      <c r="P53" s="10">
        <f t="shared" si="18"/>
        <v>1</v>
      </c>
      <c r="Q53" s="256" t="str" cm="1">
        <f t="array" ref="Q53">IF($E53&lt;T$6,"",INDEX('4044 Yield Curves'!$C$7:$C$66,MIN(60,2*($E53-T$6+0.5)),0))</f>
        <v/>
      </c>
      <c r="R53" s="10" t="str">
        <f t="shared" si="19"/>
        <v/>
      </c>
      <c r="S53" s="10">
        <f t="shared" si="20"/>
        <v>1</v>
      </c>
      <c r="T53" s="11">
        <f t="shared" si="15"/>
        <v>0</v>
      </c>
      <c r="U53" s="355">
        <f t="shared" si="22"/>
        <v>0</v>
      </c>
      <c r="W53"/>
      <c r="X53"/>
    </row>
    <row r="54" spans="2:24" ht="13" x14ac:dyDescent="0.3">
      <c r="B54" s="13"/>
      <c r="D54" s="322"/>
      <c r="E54" s="8">
        <f t="shared" si="4"/>
        <v>47</v>
      </c>
      <c r="F54" s="335">
        <f>'4050 Mortality'!C52</f>
        <v>5.9000000000000003E-4</v>
      </c>
      <c r="G54" s="10">
        <f t="shared" si="5"/>
        <v>0.99941000000000002</v>
      </c>
      <c r="H54" s="259">
        <f t="shared" si="0"/>
        <v>0.99975412434966926</v>
      </c>
      <c r="I54" s="328"/>
      <c r="J54" s="10">
        <f t="shared" si="16"/>
        <v>1</v>
      </c>
      <c r="K54" s="256" t="str" cm="1">
        <f t="array" ref="K54">IF($E54&lt;N$6,"",INDEX('4044 Yield Curves'!$C$7:$C$66,MIN(60,2*($E54-N$6+0.5)),0))</f>
        <v/>
      </c>
      <c r="L54" s="10" t="str">
        <f t="shared" si="13"/>
        <v/>
      </c>
      <c r="M54" s="10">
        <f t="shared" si="17"/>
        <v>1</v>
      </c>
      <c r="N54" s="11">
        <f t="shared" si="14"/>
        <v>0</v>
      </c>
      <c r="O54" s="355">
        <f t="shared" si="21"/>
        <v>0</v>
      </c>
      <c r="P54" s="10">
        <f t="shared" si="18"/>
        <v>1</v>
      </c>
      <c r="Q54" s="256" t="str" cm="1">
        <f t="array" ref="Q54">IF($E54&lt;T$6,"",INDEX('4044 Yield Curves'!$C$7:$C$66,MIN(60,2*($E54-T$6+0.5)),0))</f>
        <v/>
      </c>
      <c r="R54" s="10" t="str">
        <f t="shared" si="19"/>
        <v/>
      </c>
      <c r="S54" s="10">
        <f t="shared" si="20"/>
        <v>1</v>
      </c>
      <c r="T54" s="11">
        <f t="shared" si="15"/>
        <v>0</v>
      </c>
      <c r="U54" s="355">
        <f t="shared" si="22"/>
        <v>0</v>
      </c>
      <c r="W54"/>
      <c r="X54"/>
    </row>
    <row r="55" spans="2:24" ht="13" x14ac:dyDescent="0.3">
      <c r="B55" s="13"/>
      <c r="D55" s="322"/>
      <c r="E55" s="8">
        <f t="shared" si="4"/>
        <v>48</v>
      </c>
      <c r="F55" s="335">
        <f>'4050 Mortality'!C53</f>
        <v>6.4000000000000005E-4</v>
      </c>
      <c r="G55" s="10">
        <f t="shared" si="5"/>
        <v>0.99936000000000003</v>
      </c>
      <c r="H55" s="259">
        <f t="shared" si="0"/>
        <v>0.99973328353873481</v>
      </c>
      <c r="I55" s="328"/>
      <c r="J55" s="10">
        <f t="shared" si="16"/>
        <v>1</v>
      </c>
      <c r="K55" s="256" t="str" cm="1">
        <f t="array" ref="K55">IF($E55&lt;N$6,"",INDEX('4044 Yield Curves'!$C$7:$C$66,MIN(60,2*($E55-N$6+0.5)),0))</f>
        <v/>
      </c>
      <c r="L55" s="10" t="str">
        <f t="shared" si="13"/>
        <v/>
      </c>
      <c r="M55" s="10">
        <f t="shared" si="17"/>
        <v>1</v>
      </c>
      <c r="N55" s="11">
        <f t="shared" si="14"/>
        <v>0</v>
      </c>
      <c r="O55" s="355">
        <f t="shared" si="21"/>
        <v>0</v>
      </c>
      <c r="P55" s="10">
        <f t="shared" si="18"/>
        <v>1</v>
      </c>
      <c r="Q55" s="256" t="str" cm="1">
        <f t="array" ref="Q55">IF($E55&lt;T$6,"",INDEX('4044 Yield Curves'!$C$7:$C$66,MIN(60,2*($E55-T$6+0.5)),0))</f>
        <v/>
      </c>
      <c r="R55" s="10" t="str">
        <f t="shared" si="19"/>
        <v/>
      </c>
      <c r="S55" s="10">
        <f t="shared" si="20"/>
        <v>1</v>
      </c>
      <c r="T55" s="11">
        <f t="shared" si="15"/>
        <v>0</v>
      </c>
      <c r="U55" s="355">
        <f t="shared" si="22"/>
        <v>0</v>
      </c>
      <c r="W55"/>
      <c r="X55"/>
    </row>
    <row r="56" spans="2:24" ht="13" x14ac:dyDescent="0.3">
      <c r="B56" s="13"/>
      <c r="D56" s="322"/>
      <c r="E56" s="8">
        <f t="shared" si="4"/>
        <v>49</v>
      </c>
      <c r="F56" s="335">
        <f>'4050 Mortality'!C54</f>
        <v>6.8000000000000005E-4</v>
      </c>
      <c r="G56" s="10">
        <f t="shared" si="5"/>
        <v>0.99931999999999999</v>
      </c>
      <c r="H56" s="259">
        <f t="shared" si="0"/>
        <v>0.99971661045204574</v>
      </c>
      <c r="I56" s="328"/>
      <c r="J56" s="10">
        <f t="shared" si="16"/>
        <v>1</v>
      </c>
      <c r="K56" s="256" t="str" cm="1">
        <f t="array" ref="K56">IF($E56&lt;N$6,"",INDEX('4044 Yield Curves'!$C$7:$C$66,MIN(60,2*($E56-N$6+0.5)),0))</f>
        <v/>
      </c>
      <c r="L56" s="10" t="str">
        <f t="shared" si="13"/>
        <v/>
      </c>
      <c r="M56" s="10">
        <f t="shared" si="17"/>
        <v>1</v>
      </c>
      <c r="N56" s="11">
        <f t="shared" si="14"/>
        <v>0</v>
      </c>
      <c r="O56" s="355">
        <f t="shared" si="21"/>
        <v>0</v>
      </c>
      <c r="P56" s="10">
        <f t="shared" si="18"/>
        <v>1</v>
      </c>
      <c r="Q56" s="256" t="str" cm="1">
        <f t="array" ref="Q56">IF($E56&lt;T$6,"",INDEX('4044 Yield Curves'!$C$7:$C$66,MIN(60,2*($E56-T$6+0.5)),0))</f>
        <v/>
      </c>
      <c r="R56" s="10" t="str">
        <f t="shared" si="19"/>
        <v/>
      </c>
      <c r="S56" s="10">
        <f t="shared" si="20"/>
        <v>1</v>
      </c>
      <c r="T56" s="11">
        <f t="shared" si="15"/>
        <v>0</v>
      </c>
      <c r="U56" s="355">
        <f t="shared" si="22"/>
        <v>0</v>
      </c>
      <c r="W56"/>
      <c r="X56"/>
    </row>
    <row r="57" spans="2:24" ht="13" x14ac:dyDescent="0.3">
      <c r="B57" s="13"/>
      <c r="D57" s="322"/>
      <c r="E57" s="8">
        <f t="shared" si="4"/>
        <v>50</v>
      </c>
      <c r="F57" s="335">
        <f>'4050 Mortality'!C55</f>
        <v>7.5000000000000002E-4</v>
      </c>
      <c r="G57" s="10">
        <f t="shared" si="5"/>
        <v>0.99924999999999997</v>
      </c>
      <c r="H57" s="259">
        <f t="shared" si="0"/>
        <v>0.999687431613553</v>
      </c>
      <c r="I57" s="328"/>
      <c r="J57" s="10">
        <f t="shared" si="16"/>
        <v>1</v>
      </c>
      <c r="K57" s="256" t="str" cm="1">
        <f t="array" ref="K57">IF($E57&lt;N$6,"",INDEX('4044 Yield Curves'!$C$7:$C$66,MIN(60,2*($E57-N$6+0.5)),0))</f>
        <v/>
      </c>
      <c r="L57" s="10" t="str">
        <f t="shared" si="13"/>
        <v/>
      </c>
      <c r="M57" s="10">
        <f t="shared" si="17"/>
        <v>1</v>
      </c>
      <c r="N57" s="11">
        <f t="shared" si="14"/>
        <v>0</v>
      </c>
      <c r="O57" s="355">
        <f t="shared" si="21"/>
        <v>0</v>
      </c>
      <c r="P57" s="10">
        <f t="shared" si="18"/>
        <v>1</v>
      </c>
      <c r="Q57" s="256" t="str" cm="1">
        <f t="array" ref="Q57">IF($E57&lt;T$6,"",INDEX('4044 Yield Curves'!$C$7:$C$66,MIN(60,2*($E57-T$6+0.5)),0))</f>
        <v/>
      </c>
      <c r="R57" s="10" t="str">
        <f t="shared" si="19"/>
        <v/>
      </c>
      <c r="S57" s="10">
        <f t="shared" si="20"/>
        <v>1</v>
      </c>
      <c r="T57" s="11">
        <f t="shared" si="15"/>
        <v>0</v>
      </c>
      <c r="U57" s="355">
        <f t="shared" si="22"/>
        <v>0</v>
      </c>
      <c r="W57"/>
      <c r="X57"/>
    </row>
    <row r="58" spans="2:24" ht="13" x14ac:dyDescent="0.3">
      <c r="B58" s="13"/>
      <c r="D58" s="322"/>
      <c r="E58" s="8">
        <f t="shared" si="4"/>
        <v>51</v>
      </c>
      <c r="F58" s="335">
        <f>'4050 Mortality'!C56</f>
        <v>8.3000000000000001E-4</v>
      </c>
      <c r="G58" s="10">
        <f t="shared" si="5"/>
        <v>0.99917</v>
      </c>
      <c r="H58" s="259">
        <f t="shared" si="0"/>
        <v>0.99965408290948665</v>
      </c>
      <c r="I58" s="328"/>
      <c r="J58" s="10">
        <f t="shared" si="16"/>
        <v>1</v>
      </c>
      <c r="K58" s="256" t="str" cm="1">
        <f t="array" ref="K58">IF($E58&lt;N$6,"",INDEX('4044 Yield Curves'!$C$7:$C$66,MIN(60,2*($E58-N$6+0.5)),0))</f>
        <v/>
      </c>
      <c r="L58" s="10" t="str">
        <f t="shared" si="13"/>
        <v/>
      </c>
      <c r="M58" s="10">
        <f t="shared" si="17"/>
        <v>1</v>
      </c>
      <c r="N58" s="11">
        <f t="shared" si="14"/>
        <v>0</v>
      </c>
      <c r="O58" s="355">
        <f t="shared" si="21"/>
        <v>0</v>
      </c>
      <c r="P58" s="10">
        <f t="shared" si="18"/>
        <v>1</v>
      </c>
      <c r="Q58" s="256" t="str" cm="1">
        <f t="array" ref="Q58">IF($E58&lt;T$6,"",INDEX('4044 Yield Curves'!$C$7:$C$66,MIN(60,2*($E58-T$6+0.5)),0))</f>
        <v/>
      </c>
      <c r="R58" s="10" t="str">
        <f t="shared" si="19"/>
        <v/>
      </c>
      <c r="S58" s="10">
        <f t="shared" si="20"/>
        <v>1</v>
      </c>
      <c r="T58" s="11">
        <f t="shared" si="15"/>
        <v>0</v>
      </c>
      <c r="U58" s="355">
        <f t="shared" si="22"/>
        <v>0</v>
      </c>
      <c r="W58"/>
      <c r="X58"/>
    </row>
    <row r="59" spans="2:24" ht="13" x14ac:dyDescent="0.3">
      <c r="B59" s="13"/>
      <c r="D59" s="322"/>
      <c r="E59" s="8">
        <f t="shared" si="4"/>
        <v>52</v>
      </c>
      <c r="F59" s="335">
        <f>'4050 Mortality'!C57</f>
        <v>9.2000000000000003E-4</v>
      </c>
      <c r="G59" s="10">
        <f t="shared" si="5"/>
        <v>0.99907999999999997</v>
      </c>
      <c r="H59" s="259">
        <f t="shared" si="0"/>
        <v>0.99961656375558106</v>
      </c>
      <c r="I59" s="328"/>
      <c r="J59" s="10">
        <f t="shared" si="16"/>
        <v>1</v>
      </c>
      <c r="K59" s="256" t="str" cm="1">
        <f t="array" ref="K59">IF($E59&lt;N$6,"",INDEX('4044 Yield Curves'!$C$7:$C$66,MIN(60,2*($E59-N$6+0.5)),0))</f>
        <v/>
      </c>
      <c r="L59" s="10" t="str">
        <f t="shared" si="13"/>
        <v/>
      </c>
      <c r="M59" s="10">
        <f t="shared" si="17"/>
        <v>1</v>
      </c>
      <c r="N59" s="11">
        <f t="shared" si="14"/>
        <v>0</v>
      </c>
      <c r="O59" s="355">
        <f t="shared" si="21"/>
        <v>0</v>
      </c>
      <c r="P59" s="10">
        <f t="shared" si="18"/>
        <v>1</v>
      </c>
      <c r="Q59" s="256" t="str" cm="1">
        <f t="array" ref="Q59">IF($E59&lt;T$6,"",INDEX('4044 Yield Curves'!$C$7:$C$66,MIN(60,2*($E59-T$6+0.5)),0))</f>
        <v/>
      </c>
      <c r="R59" s="10" t="str">
        <f t="shared" si="19"/>
        <v/>
      </c>
      <c r="S59" s="10">
        <f t="shared" si="20"/>
        <v>1</v>
      </c>
      <c r="T59" s="11">
        <f t="shared" si="15"/>
        <v>0</v>
      </c>
      <c r="U59" s="355">
        <f t="shared" si="22"/>
        <v>0</v>
      </c>
      <c r="W59"/>
      <c r="X59"/>
    </row>
    <row r="60" spans="2:24" ht="13" x14ac:dyDescent="0.3">
      <c r="B60" s="13"/>
      <c r="C60" s="13"/>
      <c r="D60" s="322"/>
      <c r="E60" s="8">
        <f t="shared" si="4"/>
        <v>53</v>
      </c>
      <c r="F60" s="335">
        <f>'4050 Mortality'!C58</f>
        <v>1.0300000000000001E-3</v>
      </c>
      <c r="G60" s="10">
        <f t="shared" si="5"/>
        <v>0.99897000000000002</v>
      </c>
      <c r="H60" s="259">
        <f t="shared" si="0"/>
        <v>0.99957070433438011</v>
      </c>
      <c r="I60" s="328"/>
      <c r="J60" s="10">
        <f t="shared" si="16"/>
        <v>1</v>
      </c>
      <c r="K60" s="256" t="str" cm="1">
        <f t="array" ref="K60">IF($E60&lt;N$6,"",INDEX('4044 Yield Curves'!$C$7:$C$66,MIN(60,2*($E60-N$6+0.5)),0))</f>
        <v/>
      </c>
      <c r="L60" s="10" t="str">
        <f t="shared" si="13"/>
        <v/>
      </c>
      <c r="M60" s="10">
        <f t="shared" si="17"/>
        <v>1</v>
      </c>
      <c r="N60" s="11">
        <f t="shared" si="14"/>
        <v>0</v>
      </c>
      <c r="O60" s="355">
        <f t="shared" si="21"/>
        <v>0</v>
      </c>
      <c r="P60" s="10">
        <f t="shared" si="18"/>
        <v>1</v>
      </c>
      <c r="Q60" s="256" t="str" cm="1">
        <f t="array" ref="Q60">IF($E60&lt;T$6,"",INDEX('4044 Yield Curves'!$C$7:$C$66,MIN(60,2*($E60-T$6+0.5)),0))</f>
        <v/>
      </c>
      <c r="R60" s="10" t="str">
        <f t="shared" si="19"/>
        <v/>
      </c>
      <c r="S60" s="10">
        <f t="shared" si="20"/>
        <v>1</v>
      </c>
      <c r="T60" s="11">
        <f t="shared" si="15"/>
        <v>0</v>
      </c>
      <c r="U60" s="355">
        <f t="shared" si="22"/>
        <v>0</v>
      </c>
      <c r="W60"/>
      <c r="X60"/>
    </row>
    <row r="61" spans="2:24" ht="13" x14ac:dyDescent="0.3">
      <c r="B61" s="13"/>
      <c r="C61" s="13"/>
      <c r="D61" s="322"/>
      <c r="E61" s="8">
        <f t="shared" si="4"/>
        <v>54</v>
      </c>
      <c r="F61" s="335">
        <f>'4050 Mortality'!C59</f>
        <v>1.17E-3</v>
      </c>
      <c r="G61" s="10">
        <f t="shared" si="5"/>
        <v>0.99883</v>
      </c>
      <c r="H61" s="259">
        <f t="shared" si="0"/>
        <v>0.99951233353782043</v>
      </c>
      <c r="I61" s="328"/>
      <c r="J61" s="10">
        <f t="shared" si="16"/>
        <v>1</v>
      </c>
      <c r="K61" s="256" t="str" cm="1">
        <f t="array" ref="K61">IF($E61&lt;N$6,"",INDEX('4044 Yield Curves'!$C$7:$C$66,MIN(60,2*($E61-N$6+0.5)),0))</f>
        <v/>
      </c>
      <c r="L61" s="10" t="str">
        <f t="shared" si="13"/>
        <v/>
      </c>
      <c r="M61" s="10">
        <f t="shared" si="17"/>
        <v>1</v>
      </c>
      <c r="N61" s="11">
        <f t="shared" si="14"/>
        <v>0</v>
      </c>
      <c r="O61" s="355">
        <f t="shared" si="21"/>
        <v>0</v>
      </c>
      <c r="P61" s="10">
        <f t="shared" si="18"/>
        <v>1</v>
      </c>
      <c r="Q61" s="256" t="str" cm="1">
        <f t="array" ref="Q61">IF($E61&lt;T$6,"",INDEX('4044 Yield Curves'!$C$7:$C$66,MIN(60,2*($E61-T$6+0.5)),0))</f>
        <v/>
      </c>
      <c r="R61" s="10" t="str">
        <f t="shared" si="19"/>
        <v/>
      </c>
      <c r="S61" s="10">
        <f t="shared" si="20"/>
        <v>1</v>
      </c>
      <c r="T61" s="11">
        <f t="shared" si="15"/>
        <v>0</v>
      </c>
      <c r="U61" s="355">
        <f t="shared" si="22"/>
        <v>0</v>
      </c>
      <c r="W61"/>
      <c r="X61"/>
    </row>
    <row r="62" spans="2:24" ht="13" x14ac:dyDescent="0.3">
      <c r="B62" s="13"/>
      <c r="C62" s="13"/>
      <c r="D62" s="322"/>
      <c r="E62" s="8">
        <f t="shared" si="4"/>
        <v>55</v>
      </c>
      <c r="F62" s="335">
        <f>'4050 Mortality'!C60</f>
        <v>1.39E-3</v>
      </c>
      <c r="G62" s="10">
        <f t="shared" si="5"/>
        <v>0.99861</v>
      </c>
      <c r="H62" s="259">
        <f t="shared" si="0"/>
        <v>0.99942059835710439</v>
      </c>
      <c r="I62" s="328"/>
      <c r="J62" s="10">
        <f t="shared" si="16"/>
        <v>1</v>
      </c>
      <c r="K62" s="256" t="str" cm="1">
        <f t="array" ref="K62">IF($E62&lt;N$6,"",INDEX('4044 Yield Curves'!$C$7:$C$66,MIN(60,2*($E62-N$6+0.5)),0))</f>
        <v/>
      </c>
      <c r="L62" s="10" t="str">
        <f t="shared" si="13"/>
        <v/>
      </c>
      <c r="M62" s="10">
        <f t="shared" si="17"/>
        <v>1</v>
      </c>
      <c r="N62" s="11">
        <f t="shared" si="14"/>
        <v>0</v>
      </c>
      <c r="O62" s="355">
        <f t="shared" si="21"/>
        <v>0</v>
      </c>
      <c r="P62" s="10">
        <f t="shared" si="18"/>
        <v>1</v>
      </c>
      <c r="Q62" s="256" t="str" cm="1">
        <f t="array" ref="Q62">IF($E62&lt;T$6,"",INDEX('4044 Yield Curves'!$C$7:$C$66,MIN(60,2*($E62-T$6+0.5)),0))</f>
        <v/>
      </c>
      <c r="R62" s="10" t="str">
        <f t="shared" si="19"/>
        <v/>
      </c>
      <c r="S62" s="10">
        <f t="shared" si="20"/>
        <v>1</v>
      </c>
      <c r="T62" s="11">
        <f t="shared" si="15"/>
        <v>0</v>
      </c>
      <c r="U62" s="355">
        <f t="shared" si="22"/>
        <v>0</v>
      </c>
      <c r="W62"/>
      <c r="X62"/>
    </row>
    <row r="63" spans="2:24" ht="13" x14ac:dyDescent="0.3">
      <c r="B63" s="13"/>
      <c r="C63" s="13"/>
      <c r="D63" s="322"/>
      <c r="E63" s="8">
        <f t="shared" si="4"/>
        <v>56</v>
      </c>
      <c r="F63" s="335">
        <f>'4050 Mortality'!C61</f>
        <v>1.72E-3</v>
      </c>
      <c r="G63" s="10">
        <f t="shared" si="5"/>
        <v>0.99827999999999995</v>
      </c>
      <c r="H63" s="259">
        <f t="shared" si="0"/>
        <v>0.99928297347882122</v>
      </c>
      <c r="I63" s="328"/>
      <c r="J63" s="10">
        <f t="shared" si="16"/>
        <v>1</v>
      </c>
      <c r="K63" s="256" t="str" cm="1">
        <f t="array" ref="K63">IF($E63&lt;N$6,"",INDEX('4044 Yield Curves'!$C$7:$C$66,MIN(60,2*($E63-N$6+0.5)),0))</f>
        <v/>
      </c>
      <c r="L63" s="10" t="str">
        <f t="shared" si="13"/>
        <v/>
      </c>
      <c r="M63" s="10">
        <f t="shared" si="17"/>
        <v>1</v>
      </c>
      <c r="N63" s="11">
        <f t="shared" si="14"/>
        <v>0</v>
      </c>
      <c r="O63" s="355">
        <f t="shared" si="21"/>
        <v>0</v>
      </c>
      <c r="P63" s="10">
        <f t="shared" si="18"/>
        <v>1</v>
      </c>
      <c r="Q63" s="256" t="str" cm="1">
        <f t="array" ref="Q63">IF($E63&lt;T$6,"",INDEX('4044 Yield Curves'!$C$7:$C$66,MIN(60,2*($E63-T$6+0.5)),0))</f>
        <v/>
      </c>
      <c r="R63" s="10" t="str">
        <f t="shared" si="19"/>
        <v/>
      </c>
      <c r="S63" s="10">
        <f t="shared" si="20"/>
        <v>1</v>
      </c>
      <c r="T63" s="11">
        <f t="shared" si="15"/>
        <v>0</v>
      </c>
      <c r="U63" s="355">
        <f t="shared" si="22"/>
        <v>0</v>
      </c>
      <c r="W63"/>
      <c r="X63"/>
    </row>
    <row r="64" spans="2:24" ht="13" x14ac:dyDescent="0.3">
      <c r="B64" s="13"/>
      <c r="C64" s="13"/>
      <c r="D64" s="322"/>
      <c r="E64" s="8">
        <f t="shared" si="4"/>
        <v>57</v>
      </c>
      <c r="F64" s="335">
        <f>'4050 Mortality'!C62</f>
        <v>2E-3</v>
      </c>
      <c r="G64" s="10">
        <f t="shared" si="5"/>
        <v>0.998</v>
      </c>
      <c r="H64" s="259">
        <f t="shared" si="0"/>
        <v>0.99916618004177449</v>
      </c>
      <c r="I64" s="328"/>
      <c r="J64" s="10">
        <f t="shared" si="16"/>
        <v>1</v>
      </c>
      <c r="K64" s="256" t="str" cm="1">
        <f t="array" ref="K64">IF($E64&lt;N$6,"",INDEX('4044 Yield Curves'!$C$7:$C$66,MIN(60,2*($E64-N$6+0.5)),0))</f>
        <v/>
      </c>
      <c r="L64" s="10" t="str">
        <f t="shared" si="13"/>
        <v/>
      </c>
      <c r="M64" s="10">
        <f t="shared" si="17"/>
        <v>1</v>
      </c>
      <c r="N64" s="11">
        <f t="shared" si="14"/>
        <v>0</v>
      </c>
      <c r="O64" s="355">
        <f t="shared" si="21"/>
        <v>0</v>
      </c>
      <c r="P64" s="10">
        <f t="shared" si="18"/>
        <v>1</v>
      </c>
      <c r="Q64" s="256" t="str" cm="1">
        <f t="array" ref="Q64">IF($E64&lt;T$6,"",INDEX('4044 Yield Curves'!$C$7:$C$66,MIN(60,2*($E64-T$6+0.5)),0))</f>
        <v/>
      </c>
      <c r="R64" s="10" t="str">
        <f t="shared" si="19"/>
        <v/>
      </c>
      <c r="S64" s="10">
        <f t="shared" si="20"/>
        <v>1</v>
      </c>
      <c r="T64" s="11">
        <f t="shared" si="15"/>
        <v>0</v>
      </c>
      <c r="U64" s="355">
        <f t="shared" si="22"/>
        <v>0</v>
      </c>
      <c r="W64"/>
      <c r="X64"/>
    </row>
    <row r="65" spans="2:29" ht="13" x14ac:dyDescent="0.3">
      <c r="B65" s="13"/>
      <c r="C65" s="13"/>
      <c r="D65" s="322"/>
      <c r="E65" s="8">
        <f t="shared" si="4"/>
        <v>58</v>
      </c>
      <c r="F65" s="335">
        <f>'4050 Mortality'!C63</f>
        <v>2.32E-3</v>
      </c>
      <c r="G65" s="10">
        <f t="shared" si="5"/>
        <v>0.99768000000000001</v>
      </c>
      <c r="H65" s="259">
        <f t="shared" si="0"/>
        <v>0.99903267842009746</v>
      </c>
      <c r="I65" s="328"/>
      <c r="J65" s="10">
        <f t="shared" si="16"/>
        <v>1</v>
      </c>
      <c r="K65" s="256" t="str" cm="1">
        <f t="array" ref="K65">IF($E65&lt;N$6,"",INDEX('4044 Yield Curves'!$C$7:$C$66,MIN(60,2*($E65-N$6+0.5)),0))</f>
        <v/>
      </c>
      <c r="L65" s="10" t="str">
        <f t="shared" si="13"/>
        <v/>
      </c>
      <c r="M65" s="10">
        <f t="shared" si="17"/>
        <v>1</v>
      </c>
      <c r="N65" s="11">
        <f t="shared" si="14"/>
        <v>0</v>
      </c>
      <c r="O65" s="355">
        <f t="shared" si="21"/>
        <v>0</v>
      </c>
      <c r="P65" s="10">
        <f t="shared" si="18"/>
        <v>1</v>
      </c>
      <c r="Q65" s="256" t="str" cm="1">
        <f t="array" ref="Q65">IF($E65&lt;T$6,"",INDEX('4044 Yield Curves'!$C$7:$C$66,MIN(60,2*($E65-T$6+0.5)),0))</f>
        <v/>
      </c>
      <c r="R65" s="10" t="str">
        <f t="shared" si="19"/>
        <v/>
      </c>
      <c r="S65" s="10">
        <f t="shared" si="20"/>
        <v>1</v>
      </c>
      <c r="T65" s="11">
        <f t="shared" si="15"/>
        <v>0</v>
      </c>
      <c r="U65" s="355">
        <f t="shared" si="22"/>
        <v>0</v>
      </c>
      <c r="W65"/>
      <c r="X65"/>
    </row>
    <row r="66" spans="2:29" ht="13" x14ac:dyDescent="0.3">
      <c r="B66" s="13"/>
      <c r="C66" s="13"/>
      <c r="D66" s="322"/>
      <c r="E66" s="8">
        <f t="shared" si="4"/>
        <v>59</v>
      </c>
      <c r="F66" s="335">
        <f>'4050 Mortality'!C64</f>
        <v>2.6900000000000001E-3</v>
      </c>
      <c r="G66" s="10">
        <f t="shared" si="5"/>
        <v>0.99731000000000003</v>
      </c>
      <c r="H66" s="259">
        <f t="shared" si="0"/>
        <v>0.9988782860288552</v>
      </c>
      <c r="I66" s="328"/>
      <c r="J66" s="10">
        <f t="shared" si="16"/>
        <v>1</v>
      </c>
      <c r="K66" s="256" t="str" cm="1">
        <f t="array" ref="K66">IF($E66&lt;N$6,"",INDEX('4044 Yield Curves'!$C$7:$C$66,MIN(60,2*($E66-N$6+0.5)),0))</f>
        <v/>
      </c>
      <c r="L66" s="10" t="str">
        <f t="shared" si="13"/>
        <v/>
      </c>
      <c r="M66" s="10">
        <f t="shared" si="17"/>
        <v>1</v>
      </c>
      <c r="N66" s="11">
        <f t="shared" si="14"/>
        <v>0</v>
      </c>
      <c r="O66" s="355">
        <f t="shared" si="21"/>
        <v>0</v>
      </c>
      <c r="P66" s="10">
        <f t="shared" si="18"/>
        <v>1</v>
      </c>
      <c r="Q66" s="256" t="str" cm="1">
        <f t="array" ref="Q66">IF($E66&lt;T$6,"",INDEX('4044 Yield Curves'!$C$7:$C$66,MIN(60,2*($E66-T$6+0.5)),0))</f>
        <v/>
      </c>
      <c r="R66" s="10" t="str">
        <f t="shared" si="19"/>
        <v/>
      </c>
      <c r="S66" s="10">
        <f t="shared" si="20"/>
        <v>1</v>
      </c>
      <c r="T66" s="11">
        <f t="shared" si="15"/>
        <v>0</v>
      </c>
      <c r="U66" s="355">
        <f t="shared" si="22"/>
        <v>0</v>
      </c>
      <c r="W66"/>
      <c r="X66"/>
    </row>
    <row r="67" spans="2:29" ht="13" x14ac:dyDescent="0.3">
      <c r="B67" s="13"/>
      <c r="C67" s="13"/>
      <c r="D67" s="322"/>
      <c r="E67" s="8">
        <f t="shared" si="4"/>
        <v>60</v>
      </c>
      <c r="F67" s="335">
        <f>'4050 Mortality'!C65</f>
        <v>3.13E-3</v>
      </c>
      <c r="G67" s="10">
        <f t="shared" si="5"/>
        <v>0.99687000000000003</v>
      </c>
      <c r="H67" s="259">
        <f t="shared" si="0"/>
        <v>0.99869464076706493</v>
      </c>
      <c r="I67" s="328"/>
      <c r="J67" s="10">
        <f t="shared" si="16"/>
        <v>1</v>
      </c>
      <c r="K67" s="256" t="str" cm="1">
        <f t="array" ref="K67">IF($E67&lt;N$6,"",INDEX('4044 Yield Curves'!$C$7:$C$66,MIN(60,2*($E67-N$6+0.5)),0))</f>
        <v/>
      </c>
      <c r="L67" s="10" t="str">
        <f t="shared" si="13"/>
        <v/>
      </c>
      <c r="M67" s="10">
        <f t="shared" si="17"/>
        <v>1</v>
      </c>
      <c r="N67" s="11">
        <f t="shared" si="14"/>
        <v>0</v>
      </c>
      <c r="O67" s="355">
        <f t="shared" si="21"/>
        <v>0</v>
      </c>
      <c r="P67" s="10">
        <f t="shared" si="18"/>
        <v>1</v>
      </c>
      <c r="Q67" s="256" t="str" cm="1">
        <f t="array" ref="Q67">IF($E67&lt;T$6,"",INDEX('4044 Yield Curves'!$C$7:$C$66,MIN(60,2*($E67-T$6+0.5)),0))</f>
        <v/>
      </c>
      <c r="R67" s="10" t="str">
        <f t="shared" si="19"/>
        <v/>
      </c>
      <c r="S67" s="10">
        <f t="shared" si="20"/>
        <v>1</v>
      </c>
      <c r="T67" s="11">
        <f t="shared" si="15"/>
        <v>0</v>
      </c>
      <c r="U67" s="355">
        <f t="shared" si="22"/>
        <v>0</v>
      </c>
      <c r="W67"/>
      <c r="X67"/>
    </row>
    <row r="68" spans="2:29" ht="13" x14ac:dyDescent="0.3">
      <c r="B68" s="13"/>
      <c r="C68" s="13"/>
      <c r="D68" s="322"/>
      <c r="E68" s="8">
        <f t="shared" si="4"/>
        <v>61</v>
      </c>
      <c r="F68" s="335">
        <f>'4050 Mortality'!C66</f>
        <v>3.5999999999999999E-3</v>
      </c>
      <c r="G68" s="10">
        <f t="shared" si="5"/>
        <v>0.99639999999999995</v>
      </c>
      <c r="H68" s="259">
        <f t="shared" si="0"/>
        <v>0.99849842200052441</v>
      </c>
      <c r="I68" s="328"/>
      <c r="J68" s="10">
        <f t="shared" si="16"/>
        <v>1</v>
      </c>
      <c r="K68" s="256" t="str" cm="1">
        <f t="array" ref="K68">IF($E68&lt;N$6,"",INDEX('4044 Yield Curves'!$C$7:$C$66,MIN(60,2*($E68-N$6+0.5)),0))</f>
        <v/>
      </c>
      <c r="L68" s="10" t="str">
        <f t="shared" si="13"/>
        <v/>
      </c>
      <c r="M68" s="10">
        <f t="shared" si="17"/>
        <v>1</v>
      </c>
      <c r="N68" s="11">
        <f t="shared" si="14"/>
        <v>0</v>
      </c>
      <c r="O68" s="355">
        <f t="shared" si="21"/>
        <v>0</v>
      </c>
      <c r="P68" s="10">
        <f t="shared" si="18"/>
        <v>1</v>
      </c>
      <c r="Q68" s="256" t="str" cm="1">
        <f t="array" ref="Q68">IF($E68&lt;T$6,"",INDEX('4044 Yield Curves'!$C$7:$C$66,MIN(60,2*($E68-T$6+0.5)),0))</f>
        <v/>
      </c>
      <c r="R68" s="10" t="str">
        <f t="shared" si="19"/>
        <v/>
      </c>
      <c r="S68" s="10">
        <f t="shared" si="20"/>
        <v>1</v>
      </c>
      <c r="T68" s="11">
        <f t="shared" si="15"/>
        <v>0</v>
      </c>
      <c r="U68" s="355">
        <f t="shared" si="22"/>
        <v>0</v>
      </c>
      <c r="W68"/>
      <c r="X68"/>
    </row>
    <row r="69" spans="2:29" ht="13" x14ac:dyDescent="0.3">
      <c r="B69" s="13"/>
      <c r="C69" s="13"/>
      <c r="D69" s="322"/>
      <c r="E69" s="8">
        <f t="shared" si="4"/>
        <v>62</v>
      </c>
      <c r="F69" s="335">
        <f>'4050 Mortality'!C67</f>
        <v>4.28E-3</v>
      </c>
      <c r="G69" s="10">
        <f t="shared" si="5"/>
        <v>0.99572000000000005</v>
      </c>
      <c r="H69" s="259">
        <f t="shared" si="0"/>
        <v>0.99821443542955335</v>
      </c>
      <c r="I69" s="328"/>
      <c r="J69" s="10">
        <f t="shared" si="16"/>
        <v>1</v>
      </c>
      <c r="K69" s="256" t="str" cm="1">
        <f t="array" ref="K69">IF($E69&lt;N$6,"",INDEX('4044 Yield Curves'!$C$7:$C$66,MIN(60,2*($E69-N$6+0.5)),0))</f>
        <v/>
      </c>
      <c r="L69" s="10" t="str">
        <f t="shared" si="13"/>
        <v/>
      </c>
      <c r="M69" s="10">
        <f t="shared" si="17"/>
        <v>1</v>
      </c>
      <c r="N69" s="11">
        <f t="shared" si="14"/>
        <v>0</v>
      </c>
      <c r="O69" s="355">
        <f t="shared" si="21"/>
        <v>0</v>
      </c>
      <c r="P69" s="10">
        <f t="shared" si="18"/>
        <v>1</v>
      </c>
      <c r="Q69" s="256" t="str" cm="1">
        <f t="array" ref="Q69">IF($E69&lt;T$6,"",INDEX('4044 Yield Curves'!$C$7:$C$66,MIN(60,2*($E69-T$6+0.5)),0))</f>
        <v/>
      </c>
      <c r="R69" s="10" t="str">
        <f t="shared" si="19"/>
        <v/>
      </c>
      <c r="S69" s="10">
        <f t="shared" si="20"/>
        <v>1</v>
      </c>
      <c r="T69" s="11">
        <f t="shared" si="15"/>
        <v>0</v>
      </c>
      <c r="U69" s="355">
        <f t="shared" si="22"/>
        <v>0</v>
      </c>
      <c r="W69"/>
      <c r="X69"/>
    </row>
    <row r="70" spans="2:29" ht="13" x14ac:dyDescent="0.3">
      <c r="B70" s="13"/>
      <c r="C70" s="13"/>
      <c r="D70" s="322"/>
      <c r="E70" s="8">
        <f t="shared" si="4"/>
        <v>63</v>
      </c>
      <c r="F70" s="335">
        <f>'4050 Mortality'!C68</f>
        <v>5.0000000000000001E-3</v>
      </c>
      <c r="G70" s="10">
        <f t="shared" si="5"/>
        <v>0.995</v>
      </c>
      <c r="H70" s="259">
        <f t="shared" si="0"/>
        <v>0.99791362042878184</v>
      </c>
      <c r="I70" s="328"/>
      <c r="J70" s="10">
        <f t="shared" si="16"/>
        <v>1</v>
      </c>
      <c r="K70" s="256" t="str" cm="1">
        <f t="array" ref="K70">IF($E70&lt;N$6,"",INDEX('4044 Yield Curves'!$C$7:$C$66,MIN(60,2*($E70-N$6+0.5)),0))</f>
        <v/>
      </c>
      <c r="L70" s="10" t="str">
        <f t="shared" si="13"/>
        <v/>
      </c>
      <c r="M70" s="10">
        <f t="shared" si="17"/>
        <v>1</v>
      </c>
      <c r="N70" s="11">
        <f t="shared" si="14"/>
        <v>0</v>
      </c>
      <c r="O70" s="355">
        <f t="shared" si="21"/>
        <v>0</v>
      </c>
      <c r="P70" s="10">
        <f t="shared" si="18"/>
        <v>1</v>
      </c>
      <c r="Q70" s="256" t="str" cm="1">
        <f t="array" ref="Q70">IF($E70&lt;T$6,"",INDEX('4044 Yield Curves'!$C$7:$C$66,MIN(60,2*($E70-T$6+0.5)),0))</f>
        <v/>
      </c>
      <c r="R70" s="10" t="str">
        <f t="shared" si="19"/>
        <v/>
      </c>
      <c r="S70" s="10">
        <f t="shared" si="20"/>
        <v>1</v>
      </c>
      <c r="T70" s="11">
        <f t="shared" si="15"/>
        <v>0</v>
      </c>
      <c r="U70" s="355">
        <f t="shared" si="22"/>
        <v>0</v>
      </c>
      <c r="W70"/>
      <c r="X70"/>
    </row>
    <row r="71" spans="2:29" ht="13" x14ac:dyDescent="0.3">
      <c r="B71" s="13"/>
      <c r="C71" s="13"/>
      <c r="D71" s="322"/>
      <c r="E71" s="8">
        <f t="shared" si="4"/>
        <v>64</v>
      </c>
      <c r="F71" s="335">
        <f>'4050 Mortality'!C69</f>
        <v>5.62E-3</v>
      </c>
      <c r="G71" s="10">
        <f t="shared" si="5"/>
        <v>0.99438000000000004</v>
      </c>
      <c r="H71" s="259">
        <f t="shared" ref="H71:H127" si="23">G71^(5/12)</f>
        <v>0.99765448352483133</v>
      </c>
      <c r="I71" s="328"/>
      <c r="J71" s="10">
        <f t="shared" si="16"/>
        <v>1</v>
      </c>
      <c r="K71" s="256" t="str" cm="1">
        <f t="array" ref="K71">IF($E71&lt;N$6,"",INDEX('4044 Yield Curves'!$C$7:$C$66,MIN(60,2*($E71-N$6+0.5)),0))</f>
        <v/>
      </c>
      <c r="L71" s="10" t="str">
        <f t="shared" ref="L71:L102" si="24">IF($E71&lt;N$6,"",(N$6-$E71-11/24))</f>
        <v/>
      </c>
      <c r="M71" s="10">
        <f t="shared" si="17"/>
        <v>1</v>
      </c>
      <c r="N71" s="11">
        <f t="shared" ref="N71:N102" si="25">IF($E71&gt;=N$6,1,0)</f>
        <v>0</v>
      </c>
      <c r="O71" s="355">
        <f t="shared" si="21"/>
        <v>0</v>
      </c>
      <c r="P71" s="10">
        <f t="shared" si="18"/>
        <v>1</v>
      </c>
      <c r="Q71" s="256" t="str" cm="1">
        <f t="array" ref="Q71">IF($E71&lt;T$6,"",INDEX('4044 Yield Curves'!$C$7:$C$66,MIN(60,2*($E71-T$6+0.5)),0))</f>
        <v/>
      </c>
      <c r="R71" s="10" t="str">
        <f t="shared" si="19"/>
        <v/>
      </c>
      <c r="S71" s="10">
        <f t="shared" si="20"/>
        <v>1</v>
      </c>
      <c r="T71" s="11">
        <f t="shared" ref="T71:T102" si="26">IF($E71&gt;=T$6,1,0)</f>
        <v>0</v>
      </c>
      <c r="U71" s="355">
        <f t="shared" si="22"/>
        <v>0</v>
      </c>
      <c r="W71"/>
      <c r="X71"/>
    </row>
    <row r="72" spans="2:29" ht="13" x14ac:dyDescent="0.3">
      <c r="B72" s="13"/>
      <c r="C72" s="13"/>
      <c r="D72" s="322"/>
      <c r="E72" s="8">
        <f t="shared" ref="E72:E127" si="27">E71+1</f>
        <v>65</v>
      </c>
      <c r="F72" s="335">
        <f>'4050 Mortality'!C70</f>
        <v>6.4099999999999999E-3</v>
      </c>
      <c r="G72" s="10">
        <f t="shared" ref="G72:G127" si="28">1-F72</f>
        <v>0.99358999999999997</v>
      </c>
      <c r="H72" s="259">
        <f t="shared" si="23"/>
        <v>0.99732415635815996</v>
      </c>
      <c r="I72" s="328"/>
      <c r="J72" s="10">
        <f t="shared" ref="J72:J103" si="29">IF($E71&lt;$A$5,1,J71*$G71)</f>
        <v>1</v>
      </c>
      <c r="K72" s="256" t="str" cm="1">
        <f t="array" ref="K72">IF($E72&lt;N$6,"",INDEX('4044 Yield Curves'!$C$7:$C$66,MIN(60,2*($E72-N$6+0.5)),0))</f>
        <v/>
      </c>
      <c r="L72" s="10" t="str">
        <f t="shared" si="24"/>
        <v/>
      </c>
      <c r="M72" s="10">
        <f t="shared" ref="M72:M103" si="30">IF($E72&lt;N$6,1,(1+K72)^L72)</f>
        <v>1</v>
      </c>
      <c r="N72" s="11">
        <f t="shared" si="25"/>
        <v>0</v>
      </c>
      <c r="O72" s="355">
        <f t="shared" si="21"/>
        <v>0</v>
      </c>
      <c r="P72" s="10">
        <f t="shared" ref="P72:P103" si="31">IF($E71&lt;$A$6,1,P71*$G71)</f>
        <v>1</v>
      </c>
      <c r="Q72" s="256" t="str" cm="1">
        <f t="array" ref="Q72">IF($E72&lt;T$6,"",INDEX('4044 Yield Curves'!$C$7:$C$66,MIN(60,2*($E72-T$6+0.5)),0))</f>
        <v/>
      </c>
      <c r="R72" s="10" t="str">
        <f t="shared" ref="R72:R103" si="32">IF($E72&lt;T$6,"",(T$6-$E72-11/24))</f>
        <v/>
      </c>
      <c r="S72" s="10">
        <f t="shared" ref="S72:S103" si="33">IF($E72&lt;T$6,1,(1+Q72)^R72)</f>
        <v>1</v>
      </c>
      <c r="T72" s="11">
        <f t="shared" si="26"/>
        <v>0</v>
      </c>
      <c r="U72" s="355">
        <f t="shared" si="22"/>
        <v>0</v>
      </c>
      <c r="W72"/>
      <c r="X72"/>
    </row>
    <row r="73" spans="2:29" ht="13" x14ac:dyDescent="0.3">
      <c r="B73" s="13"/>
      <c r="C73" s="13"/>
      <c r="D73" s="322"/>
      <c r="E73" s="8">
        <f t="shared" si="27"/>
        <v>66</v>
      </c>
      <c r="F73" s="335">
        <f>'4050 Mortality'!C71</f>
        <v>7.2899999999999996E-3</v>
      </c>
      <c r="G73" s="10">
        <f t="shared" si="28"/>
        <v>0.99270999999999998</v>
      </c>
      <c r="H73" s="259">
        <f t="shared" si="23"/>
        <v>0.99695601654899946</v>
      </c>
      <c r="I73" s="328"/>
      <c r="J73" s="10">
        <f t="shared" si="29"/>
        <v>1</v>
      </c>
      <c r="K73" s="256" t="str" cm="1">
        <f t="array" ref="K73">IF($E73&lt;N$6,"",INDEX('4044 Yield Curves'!$C$7:$C$66,MIN(60,2*($E73-N$6+0.5)),0))</f>
        <v/>
      </c>
      <c r="L73" s="10" t="str">
        <f t="shared" si="24"/>
        <v/>
      </c>
      <c r="M73" s="10">
        <f t="shared" si="30"/>
        <v>1</v>
      </c>
      <c r="N73" s="11">
        <f t="shared" si="25"/>
        <v>0</v>
      </c>
      <c r="O73" s="355">
        <f t="shared" ref="O73:O104" si="34">O72+N72</f>
        <v>0</v>
      </c>
      <c r="P73" s="10">
        <f t="shared" si="31"/>
        <v>1</v>
      </c>
      <c r="Q73" s="256" t="str" cm="1">
        <f t="array" ref="Q73">IF($E73&lt;T$6,"",INDEX('4044 Yield Curves'!$C$7:$C$66,MIN(60,2*($E73-T$6+0.5)),0))</f>
        <v/>
      </c>
      <c r="R73" s="10" t="str">
        <f t="shared" si="32"/>
        <v/>
      </c>
      <c r="S73" s="10">
        <f t="shared" si="33"/>
        <v>1</v>
      </c>
      <c r="T73" s="11">
        <f t="shared" si="26"/>
        <v>0</v>
      </c>
      <c r="U73" s="355">
        <f t="shared" ref="U73:U104" si="35">U72+T72</f>
        <v>0</v>
      </c>
      <c r="W73"/>
      <c r="X73"/>
    </row>
    <row r="74" spans="2:29" ht="13" x14ac:dyDescent="0.3">
      <c r="B74" s="13"/>
      <c r="C74" s="13"/>
      <c r="D74" s="322"/>
      <c r="E74" s="8">
        <f t="shared" si="27"/>
        <v>67</v>
      </c>
      <c r="F74" s="335">
        <f>'4050 Mortality'!C72</f>
        <v>8.1300000000000001E-3</v>
      </c>
      <c r="G74" s="10">
        <f t="shared" si="28"/>
        <v>0.99187000000000003</v>
      </c>
      <c r="H74" s="259">
        <f t="shared" si="23"/>
        <v>0.99660443274200483</v>
      </c>
      <c r="I74" s="328"/>
      <c r="J74" s="10">
        <f t="shared" si="29"/>
        <v>1</v>
      </c>
      <c r="K74" s="256" t="str" cm="1">
        <f t="array" ref="K74">IF($E74&lt;N$6,"",INDEX('4044 Yield Curves'!$C$7:$C$66,MIN(60,2*($E74-N$6+0.5)),0))</f>
        <v/>
      </c>
      <c r="L74" s="10" t="str">
        <f t="shared" si="24"/>
        <v/>
      </c>
      <c r="M74" s="10">
        <f t="shared" si="30"/>
        <v>1</v>
      </c>
      <c r="N74" s="11">
        <f t="shared" si="25"/>
        <v>0</v>
      </c>
      <c r="O74" s="355">
        <f t="shared" si="34"/>
        <v>0</v>
      </c>
      <c r="P74" s="10">
        <f t="shared" si="31"/>
        <v>1</v>
      </c>
      <c r="Q74" s="256" t="str" cm="1">
        <f t="array" ref="Q74">IF($E74&lt;T$6,"",INDEX('4044 Yield Curves'!$C$7:$C$66,MIN(60,2*($E74-T$6+0.5)),0))</f>
        <v/>
      </c>
      <c r="R74" s="10" t="str">
        <f t="shared" si="32"/>
        <v/>
      </c>
      <c r="S74" s="10">
        <f t="shared" si="33"/>
        <v>1</v>
      </c>
      <c r="T74" s="11">
        <f t="shared" si="26"/>
        <v>0</v>
      </c>
      <c r="U74" s="355">
        <f t="shared" si="35"/>
        <v>0</v>
      </c>
      <c r="W74"/>
      <c r="X74"/>
    </row>
    <row r="75" spans="2:29" ht="13" x14ac:dyDescent="0.3">
      <c r="B75" s="13"/>
      <c r="C75" s="13"/>
      <c r="D75" s="322"/>
      <c r="E75" s="8">
        <f t="shared" si="27"/>
        <v>68</v>
      </c>
      <c r="F75" s="335">
        <f>'4050 Mortality'!C73</f>
        <v>9.0399999999999994E-3</v>
      </c>
      <c r="G75" s="10">
        <f t="shared" si="28"/>
        <v>0.99095999999999995</v>
      </c>
      <c r="H75" s="259">
        <f t="shared" si="23"/>
        <v>0.9962233542264155</v>
      </c>
      <c r="I75" s="328"/>
      <c r="J75" s="10">
        <f t="shared" si="29"/>
        <v>1</v>
      </c>
      <c r="K75" s="256" t="str" cm="1">
        <f t="array" ref="K75">IF($E75&lt;N$6,"",INDEX('4044 Yield Curves'!$C$7:$C$66,MIN(60,2*($E75-N$6+0.5)),0))</f>
        <v/>
      </c>
      <c r="L75" s="10" t="str">
        <f t="shared" si="24"/>
        <v/>
      </c>
      <c r="M75" s="10">
        <f t="shared" si="30"/>
        <v>1</v>
      </c>
      <c r="N75" s="11">
        <f t="shared" si="25"/>
        <v>0</v>
      </c>
      <c r="O75" s="355">
        <f t="shared" si="34"/>
        <v>0</v>
      </c>
      <c r="P75" s="10">
        <f t="shared" si="31"/>
        <v>1</v>
      </c>
      <c r="Q75" s="256" t="str" cm="1">
        <f t="array" ref="Q75">IF($E75&lt;T$6,"",INDEX('4044 Yield Curves'!$C$7:$C$66,MIN(60,2*($E75-T$6+0.5)),0))</f>
        <v/>
      </c>
      <c r="R75" s="10" t="str">
        <f t="shared" si="32"/>
        <v/>
      </c>
      <c r="S75" s="10">
        <f t="shared" si="33"/>
        <v>1</v>
      </c>
      <c r="T75" s="11">
        <f t="shared" si="26"/>
        <v>0</v>
      </c>
      <c r="U75" s="355">
        <f t="shared" si="35"/>
        <v>0</v>
      </c>
      <c r="W75"/>
      <c r="X75"/>
    </row>
    <row r="76" spans="2:29" ht="13" x14ac:dyDescent="0.3">
      <c r="B76" s="13"/>
      <c r="C76" s="13"/>
      <c r="D76" s="322"/>
      <c r="E76" s="8">
        <f t="shared" si="27"/>
        <v>69</v>
      </c>
      <c r="F76" s="335">
        <f>'4050 Mortality'!C74</f>
        <v>1.008E-2</v>
      </c>
      <c r="G76" s="10">
        <f t="shared" si="28"/>
        <v>0.98992000000000002</v>
      </c>
      <c r="H76" s="259">
        <f t="shared" si="23"/>
        <v>0.99578758587787597</v>
      </c>
      <c r="I76" s="328"/>
      <c r="J76" s="10">
        <f t="shared" si="29"/>
        <v>1</v>
      </c>
      <c r="K76" s="256" t="str" cm="1">
        <f t="array" ref="K76">IF($E76&lt;N$6,"",INDEX('4044 Yield Curves'!$C$7:$C$66,MIN(60,2*($E76-N$6+0.5)),0))</f>
        <v/>
      </c>
      <c r="L76" s="10" t="str">
        <f t="shared" si="24"/>
        <v/>
      </c>
      <c r="M76" s="10">
        <f t="shared" si="30"/>
        <v>1</v>
      </c>
      <c r="N76" s="11">
        <f t="shared" si="25"/>
        <v>0</v>
      </c>
      <c r="O76" s="355">
        <f t="shared" si="34"/>
        <v>0</v>
      </c>
      <c r="P76" s="10">
        <f t="shared" si="31"/>
        <v>1</v>
      </c>
      <c r="Q76" s="256" t="str" cm="1">
        <f t="array" ref="Q76">IF($E76&lt;T$6,"",INDEX('4044 Yield Curves'!$C$7:$C$66,MIN(60,2*($E76-T$6+0.5)),0))</f>
        <v/>
      </c>
      <c r="R76" s="10" t="str">
        <f t="shared" si="32"/>
        <v/>
      </c>
      <c r="S76" s="10">
        <f t="shared" si="33"/>
        <v>1</v>
      </c>
      <c r="T76" s="11">
        <f t="shared" si="26"/>
        <v>0</v>
      </c>
      <c r="U76" s="355">
        <f t="shared" si="35"/>
        <v>0</v>
      </c>
      <c r="W76"/>
      <c r="X76"/>
    </row>
    <row r="77" spans="2:29" ht="13" x14ac:dyDescent="0.3">
      <c r="B77" s="13"/>
      <c r="C77" s="13"/>
      <c r="D77" s="322"/>
      <c r="E77" s="8">
        <f t="shared" si="27"/>
        <v>70</v>
      </c>
      <c r="F77" s="335">
        <f>'4050 Mortality'!C75</f>
        <v>1.1270000000000001E-2</v>
      </c>
      <c r="G77" s="10">
        <f t="shared" si="28"/>
        <v>0.98873</v>
      </c>
      <c r="H77" s="259">
        <f t="shared" si="23"/>
        <v>0.99528863858570094</v>
      </c>
      <c r="I77" s="328"/>
      <c r="J77" s="10">
        <f t="shared" si="29"/>
        <v>1</v>
      </c>
      <c r="K77" s="256" cm="1">
        <f t="array" ref="K77">IF($E77&lt;N$6,"",INDEX('4044 Yield Curves'!$C$7:$C$66,MIN(60,2*($E77-N$6+0.5)),0))</f>
        <v>4.2099999999999999E-2</v>
      </c>
      <c r="L77" s="10">
        <f t="shared" si="24"/>
        <v>-0.45833333333333331</v>
      </c>
      <c r="M77" s="10">
        <f t="shared" si="30"/>
        <v>0.98127679049711725</v>
      </c>
      <c r="N77" s="11">
        <f t="shared" si="25"/>
        <v>1</v>
      </c>
      <c r="O77" s="355">
        <f t="shared" si="34"/>
        <v>0</v>
      </c>
      <c r="P77" s="10">
        <f t="shared" si="31"/>
        <v>1</v>
      </c>
      <c r="Q77" s="256" t="str" cm="1">
        <f t="array" ref="Q77">IF($E77&lt;T$6,"",INDEX('4044 Yield Curves'!$C$7:$C$66,MIN(60,2*($E77-T$6+0.5)),0))</f>
        <v/>
      </c>
      <c r="R77" s="10" t="str">
        <f t="shared" si="32"/>
        <v/>
      </c>
      <c r="S77" s="10">
        <f t="shared" si="33"/>
        <v>1</v>
      </c>
      <c r="T77" s="11">
        <f t="shared" si="26"/>
        <v>0</v>
      </c>
      <c r="U77" s="355">
        <f t="shared" si="35"/>
        <v>0</v>
      </c>
      <c r="W77"/>
      <c r="X77"/>
    </row>
    <row r="78" spans="2:29" ht="13" x14ac:dyDescent="0.3">
      <c r="B78" s="13"/>
      <c r="C78" s="13"/>
      <c r="D78" s="322"/>
      <c r="E78" s="8">
        <f t="shared" si="27"/>
        <v>71</v>
      </c>
      <c r="F78" s="335">
        <f>'4050 Mortality'!C76</f>
        <v>1.2619999999999999E-2</v>
      </c>
      <c r="G78" s="10">
        <f t="shared" si="28"/>
        <v>0.98738000000000004</v>
      </c>
      <c r="H78" s="259">
        <f t="shared" si="23"/>
        <v>0.99472218164236947</v>
      </c>
      <c r="I78" s="328"/>
      <c r="J78" s="10">
        <f t="shared" si="29"/>
        <v>0.98873</v>
      </c>
      <c r="K78" s="256" cm="1">
        <f t="array" ref="K78">IF($E78&lt;N$6,"",INDEX('4044 Yield Curves'!$C$7:$C$66,MIN(60,2*($E78-N$6+0.5)),0))</f>
        <v>4.2300000000000004E-2</v>
      </c>
      <c r="L78" s="10">
        <f t="shared" si="24"/>
        <v>-1.4583333333333333</v>
      </c>
      <c r="M78" s="10">
        <f t="shared" si="30"/>
        <v>0.94137051340744049</v>
      </c>
      <c r="N78" s="11">
        <f t="shared" si="25"/>
        <v>1</v>
      </c>
      <c r="O78" s="355">
        <f t="shared" si="34"/>
        <v>1</v>
      </c>
      <c r="P78" s="10">
        <f t="shared" si="31"/>
        <v>1</v>
      </c>
      <c r="Q78" s="256" cm="1">
        <f t="array" ref="Q78">IF($E78&lt;T$6,"",INDEX('4044 Yield Curves'!$C$7:$C$66,MIN(60,2*($E78-T$6+0.5)),0))</f>
        <v>4.2099999999999999E-2</v>
      </c>
      <c r="R78" s="10">
        <f t="shared" si="32"/>
        <v>-0.45833333333333331</v>
      </c>
      <c r="S78" s="10">
        <f t="shared" si="33"/>
        <v>0.98127679049711725</v>
      </c>
      <c r="T78" s="11">
        <f t="shared" si="26"/>
        <v>1</v>
      </c>
      <c r="U78" s="355">
        <f t="shared" si="35"/>
        <v>0</v>
      </c>
      <c r="W78"/>
      <c r="X78"/>
      <c r="Y78" s="13"/>
    </row>
    <row r="79" spans="2:29" ht="13" x14ac:dyDescent="0.3">
      <c r="B79" s="13"/>
      <c r="C79" s="13"/>
      <c r="D79" s="322"/>
      <c r="E79" s="8">
        <f t="shared" si="27"/>
        <v>72</v>
      </c>
      <c r="F79" s="335">
        <f>'4050 Mortality'!C77</f>
        <v>1.417E-2</v>
      </c>
      <c r="G79" s="10">
        <f t="shared" si="28"/>
        <v>0.98582999999999998</v>
      </c>
      <c r="H79" s="259">
        <f t="shared" si="23"/>
        <v>0.99407124772853339</v>
      </c>
      <c r="I79" s="328"/>
      <c r="J79" s="10">
        <f t="shared" si="29"/>
        <v>0.97625222740000006</v>
      </c>
      <c r="K79" s="256" cm="1">
        <f t="array" ref="K79">IF($E79&lt;N$6,"",INDEX('4044 Yield Curves'!$C$7:$C$66,MIN(60,2*($E79-N$6+0.5)),0))</f>
        <v>4.3000000000000003E-2</v>
      </c>
      <c r="L79" s="10">
        <f t="shared" si="24"/>
        <v>-2.4583333333333335</v>
      </c>
      <c r="M79" s="10">
        <f t="shared" si="30"/>
        <v>0.90167717293932792</v>
      </c>
      <c r="N79" s="11">
        <f t="shared" si="25"/>
        <v>1</v>
      </c>
      <c r="O79" s="355">
        <f t="shared" si="34"/>
        <v>2</v>
      </c>
      <c r="P79" s="10">
        <f t="shared" si="31"/>
        <v>0.98738000000000004</v>
      </c>
      <c r="Q79" s="256" cm="1">
        <f t="array" ref="Q79">IF($E79&lt;T$6,"",INDEX('4044 Yield Curves'!$C$7:$C$66,MIN(60,2*($E79-T$6+0.5)),0))</f>
        <v>4.2300000000000004E-2</v>
      </c>
      <c r="R79" s="10">
        <f t="shared" si="32"/>
        <v>-1.4583333333333333</v>
      </c>
      <c r="S79" s="10">
        <f t="shared" si="33"/>
        <v>0.94137051340744049</v>
      </c>
      <c r="T79" s="11">
        <f t="shared" si="26"/>
        <v>1</v>
      </c>
      <c r="U79" s="355">
        <f t="shared" si="35"/>
        <v>1</v>
      </c>
      <c r="W79"/>
      <c r="X79"/>
      <c r="Y79" s="13"/>
      <c r="AC79" s="13"/>
    </row>
    <row r="80" spans="2:29" ht="13" x14ac:dyDescent="0.3">
      <c r="B80" s="13"/>
      <c r="C80" s="13"/>
      <c r="D80" s="322"/>
      <c r="E80" s="8">
        <f t="shared" si="27"/>
        <v>73</v>
      </c>
      <c r="F80" s="335">
        <f>'4050 Mortality'!C78</f>
        <v>1.592E-2</v>
      </c>
      <c r="G80" s="10">
        <f t="shared" si="28"/>
        <v>0.98407999999999995</v>
      </c>
      <c r="H80" s="259">
        <f t="shared" si="23"/>
        <v>0.99333560440233326</v>
      </c>
      <c r="I80" s="328"/>
      <c r="J80" s="10">
        <f t="shared" si="29"/>
        <v>0.96241873333774208</v>
      </c>
      <c r="K80" s="256" cm="1">
        <f t="array" ref="K80">IF($E80&lt;N$6,"",INDEX('4044 Yield Curves'!$C$7:$C$66,MIN(60,2*($E80-N$6+0.5)),0))</f>
        <v>4.3799999999999999E-2</v>
      </c>
      <c r="L80" s="10">
        <f t="shared" si="24"/>
        <v>-3.4583333333333335</v>
      </c>
      <c r="M80" s="10">
        <f t="shared" si="30"/>
        <v>0.86221425088998493</v>
      </c>
      <c r="N80" s="11">
        <f t="shared" si="25"/>
        <v>1</v>
      </c>
      <c r="O80" s="355">
        <f t="shared" si="34"/>
        <v>3</v>
      </c>
      <c r="P80" s="10">
        <f t="shared" si="31"/>
        <v>0.97338882540000005</v>
      </c>
      <c r="Q80" s="256" cm="1">
        <f t="array" ref="Q80">IF($E80&lt;T$6,"",INDEX('4044 Yield Curves'!$C$7:$C$66,MIN(60,2*($E80-T$6+0.5)),0))</f>
        <v>4.3000000000000003E-2</v>
      </c>
      <c r="R80" s="10">
        <f t="shared" si="32"/>
        <v>-2.4583333333333335</v>
      </c>
      <c r="S80" s="10">
        <f t="shared" si="33"/>
        <v>0.90167717293932792</v>
      </c>
      <c r="T80" s="11">
        <f t="shared" si="26"/>
        <v>1</v>
      </c>
      <c r="U80" s="355">
        <f t="shared" si="35"/>
        <v>2</v>
      </c>
      <c r="W80"/>
      <c r="X80"/>
      <c r="Y80" s="13"/>
      <c r="AC80" s="13"/>
    </row>
    <row r="81" spans="2:29" ht="13" x14ac:dyDescent="0.3">
      <c r="B81" s="13"/>
      <c r="C81" s="13"/>
      <c r="D81" s="322"/>
      <c r="E81" s="8">
        <f t="shared" si="27"/>
        <v>74</v>
      </c>
      <c r="F81" s="335">
        <f>'4050 Mortality'!C79</f>
        <v>1.7940000000000001E-2</v>
      </c>
      <c r="G81" s="10">
        <f t="shared" si="28"/>
        <v>0.98206000000000004</v>
      </c>
      <c r="H81" s="259">
        <f t="shared" si="23"/>
        <v>0.99248551238145033</v>
      </c>
      <c r="I81" s="328"/>
      <c r="J81" s="10">
        <f t="shared" si="29"/>
        <v>0.94709702710300514</v>
      </c>
      <c r="K81" s="256" cm="1">
        <f t="array" ref="K81">IF($E81&lt;N$6,"",INDEX('4044 Yield Curves'!$C$7:$C$66,MIN(60,2*($E81-N$6+0.5)),0))</f>
        <v>4.4900000000000002E-2</v>
      </c>
      <c r="L81" s="10">
        <f t="shared" si="24"/>
        <v>-4.458333333333333</v>
      </c>
      <c r="M81" s="10">
        <f t="shared" si="30"/>
        <v>0.82216408069061608</v>
      </c>
      <c r="N81" s="11">
        <f t="shared" si="25"/>
        <v>1</v>
      </c>
      <c r="O81" s="355">
        <f t="shared" si="34"/>
        <v>4</v>
      </c>
      <c r="P81" s="10">
        <f t="shared" si="31"/>
        <v>0.95789247529963195</v>
      </c>
      <c r="Q81" s="256" cm="1">
        <f t="array" ref="Q81">IF($E81&lt;T$6,"",INDEX('4044 Yield Curves'!$C$7:$C$66,MIN(60,2*($E81-T$6+0.5)),0))</f>
        <v>4.3799999999999999E-2</v>
      </c>
      <c r="R81" s="10">
        <f t="shared" si="32"/>
        <v>-3.4583333333333335</v>
      </c>
      <c r="S81" s="10">
        <f t="shared" si="33"/>
        <v>0.86221425088998493</v>
      </c>
      <c r="T81" s="11">
        <f t="shared" si="26"/>
        <v>1</v>
      </c>
      <c r="U81" s="355">
        <f t="shared" si="35"/>
        <v>3</v>
      </c>
      <c r="W81"/>
      <c r="X81"/>
      <c r="Y81" s="13"/>
      <c r="AC81" s="13"/>
    </row>
    <row r="82" spans="2:29" ht="13" x14ac:dyDescent="0.3">
      <c r="B82" s="13"/>
      <c r="C82" s="13"/>
      <c r="D82" s="322"/>
      <c r="E82" s="8">
        <f t="shared" si="27"/>
        <v>75</v>
      </c>
      <c r="F82" s="335">
        <f>'4050 Mortality'!C80</f>
        <v>2.0250000000000001E-2</v>
      </c>
      <c r="G82" s="10">
        <f t="shared" si="28"/>
        <v>0.97975000000000001</v>
      </c>
      <c r="H82" s="259">
        <f t="shared" si="23"/>
        <v>0.9915121263468234</v>
      </c>
      <c r="I82" s="328"/>
      <c r="J82" s="10">
        <f t="shared" si="29"/>
        <v>0.93010610643677727</v>
      </c>
      <c r="K82" s="256" cm="1">
        <f t="array" ref="K82">IF($E82&lt;N$6,"",INDEX('4044 Yield Curves'!$C$7:$C$66,MIN(60,2*($E82-N$6+0.5)),0))</f>
        <v>4.5999999999999999E-2</v>
      </c>
      <c r="L82" s="10">
        <f t="shared" si="24"/>
        <v>-5.458333333333333</v>
      </c>
      <c r="M82" s="10">
        <f t="shared" si="30"/>
        <v>0.78232922687590856</v>
      </c>
      <c r="N82" s="11">
        <f t="shared" si="25"/>
        <v>1</v>
      </c>
      <c r="O82" s="355">
        <f t="shared" si="34"/>
        <v>5</v>
      </c>
      <c r="P82" s="10">
        <f t="shared" si="31"/>
        <v>0.94070788429275665</v>
      </c>
      <c r="Q82" s="256" cm="1">
        <f t="array" ref="Q82">IF($E82&lt;T$6,"",INDEX('4044 Yield Curves'!$C$7:$C$66,MIN(60,2*($E82-T$6+0.5)),0))</f>
        <v>4.4900000000000002E-2</v>
      </c>
      <c r="R82" s="10">
        <f t="shared" si="32"/>
        <v>-4.458333333333333</v>
      </c>
      <c r="S82" s="10">
        <f t="shared" si="33"/>
        <v>0.82216408069061608</v>
      </c>
      <c r="T82" s="11">
        <f t="shared" si="26"/>
        <v>1</v>
      </c>
      <c r="U82" s="355">
        <f t="shared" si="35"/>
        <v>4</v>
      </c>
      <c r="W82"/>
      <c r="X82"/>
      <c r="Y82" s="13"/>
      <c r="AC82" s="13"/>
    </row>
    <row r="83" spans="2:29" ht="13" x14ac:dyDescent="0.3">
      <c r="B83" s="13"/>
      <c r="C83" s="13"/>
      <c r="D83" s="322"/>
      <c r="E83" s="8">
        <f t="shared" si="27"/>
        <v>76</v>
      </c>
      <c r="F83" s="335">
        <f>'4050 Mortality'!C81</f>
        <v>2.291E-2</v>
      </c>
      <c r="G83" s="10">
        <f t="shared" si="28"/>
        <v>0.97709000000000001</v>
      </c>
      <c r="H83" s="259">
        <f t="shared" si="23"/>
        <v>0.99038959774853474</v>
      </c>
      <c r="I83" s="328"/>
      <c r="J83" s="10">
        <f t="shared" si="29"/>
        <v>0.91127145778143259</v>
      </c>
      <c r="K83" s="256" cm="1">
        <f t="array" ref="K83">IF($E83&lt;N$6,"",INDEX('4044 Yield Curves'!$C$7:$C$66,MIN(60,2*($E83-N$6+0.5)),0))</f>
        <v>4.7199999999999999E-2</v>
      </c>
      <c r="L83" s="10">
        <f t="shared" si="24"/>
        <v>-6.458333333333333</v>
      </c>
      <c r="M83" s="10">
        <f t="shared" si="30"/>
        <v>0.74240681526769903</v>
      </c>
      <c r="N83" s="11">
        <f t="shared" si="25"/>
        <v>1</v>
      </c>
      <c r="O83" s="355">
        <f t="shared" si="34"/>
        <v>6</v>
      </c>
      <c r="P83" s="10">
        <f t="shared" si="31"/>
        <v>0.92165854963582838</v>
      </c>
      <c r="Q83" s="256" cm="1">
        <f t="array" ref="Q83">IF($E83&lt;T$6,"",INDEX('4044 Yield Curves'!$C$7:$C$66,MIN(60,2*($E83-T$6+0.5)),0))</f>
        <v>4.5999999999999999E-2</v>
      </c>
      <c r="R83" s="10">
        <f t="shared" si="32"/>
        <v>-5.458333333333333</v>
      </c>
      <c r="S83" s="10">
        <f t="shared" si="33"/>
        <v>0.78232922687590856</v>
      </c>
      <c r="T83" s="11">
        <f t="shared" si="26"/>
        <v>1</v>
      </c>
      <c r="U83" s="355">
        <f t="shared" si="35"/>
        <v>5</v>
      </c>
      <c r="W83"/>
      <c r="X83"/>
      <c r="Y83" s="13"/>
      <c r="AC83" s="13"/>
    </row>
    <row r="84" spans="2:29" ht="13" x14ac:dyDescent="0.3">
      <c r="B84" s="13"/>
      <c r="C84" s="13"/>
      <c r="D84" s="322"/>
      <c r="E84" s="8">
        <f t="shared" si="27"/>
        <v>77</v>
      </c>
      <c r="F84" s="335">
        <f>'4050 Mortality'!C82</f>
        <v>2.596E-2</v>
      </c>
      <c r="G84" s="10">
        <f t="shared" si="28"/>
        <v>0.97404000000000002</v>
      </c>
      <c r="H84" s="259">
        <f t="shared" si="23"/>
        <v>0.98910029184478265</v>
      </c>
      <c r="I84" s="328"/>
      <c r="J84" s="10">
        <f t="shared" si="29"/>
        <v>0.89039422868366003</v>
      </c>
      <c r="K84" s="256" cm="1">
        <f t="array" ref="K84">IF($E84&lt;N$6,"",INDEX('4044 Yield Curves'!$C$7:$C$66,MIN(60,2*($E84-N$6+0.5)),0))</f>
        <v>4.8399999999999999E-2</v>
      </c>
      <c r="L84" s="10">
        <f t="shared" si="24"/>
        <v>-7.458333333333333</v>
      </c>
      <c r="M84" s="10">
        <f t="shared" si="30"/>
        <v>0.70291482032222374</v>
      </c>
      <c r="N84" s="11">
        <f t="shared" si="25"/>
        <v>1</v>
      </c>
      <c r="O84" s="355">
        <f t="shared" si="34"/>
        <v>7</v>
      </c>
      <c r="P84" s="10">
        <f t="shared" si="31"/>
        <v>0.90054335226367155</v>
      </c>
      <c r="Q84" s="256" cm="1">
        <f t="array" ref="Q84">IF($E84&lt;T$6,"",INDEX('4044 Yield Curves'!$C$7:$C$66,MIN(60,2*($E84-T$6+0.5)),0))</f>
        <v>4.7199999999999999E-2</v>
      </c>
      <c r="R84" s="10">
        <f t="shared" si="32"/>
        <v>-6.458333333333333</v>
      </c>
      <c r="S84" s="10">
        <f t="shared" si="33"/>
        <v>0.74240681526769903</v>
      </c>
      <c r="T84" s="11">
        <f t="shared" si="26"/>
        <v>1</v>
      </c>
      <c r="U84" s="355">
        <f t="shared" si="35"/>
        <v>6</v>
      </c>
      <c r="W84"/>
      <c r="X84"/>
      <c r="Y84" s="13"/>
      <c r="AC84" s="13"/>
    </row>
    <row r="85" spans="2:29" ht="13" x14ac:dyDescent="0.3">
      <c r="B85" s="13"/>
      <c r="C85" s="13"/>
      <c r="D85" s="322"/>
      <c r="E85" s="8">
        <f t="shared" si="27"/>
        <v>78</v>
      </c>
      <c r="F85" s="335">
        <f>'4050 Mortality'!C83</f>
        <v>2.945E-2</v>
      </c>
      <c r="G85" s="10">
        <f t="shared" si="28"/>
        <v>0.97055000000000002</v>
      </c>
      <c r="H85" s="259">
        <f t="shared" si="23"/>
        <v>0.98762209523007294</v>
      </c>
      <c r="I85" s="328"/>
      <c r="J85" s="10">
        <f t="shared" si="29"/>
        <v>0.86727959450703218</v>
      </c>
      <c r="K85" s="256" cm="1">
        <f t="array" ref="K85">IF($E85&lt;N$6,"",INDEX('4044 Yield Curves'!$C$7:$C$66,MIN(60,2*($E85-N$6+0.5)),0))</f>
        <v>4.9500000000000002E-2</v>
      </c>
      <c r="L85" s="10">
        <f t="shared" si="24"/>
        <v>-8.4583333333333339</v>
      </c>
      <c r="M85" s="10">
        <f t="shared" si="30"/>
        <v>0.66454363647160042</v>
      </c>
      <c r="N85" s="11">
        <f t="shared" si="25"/>
        <v>1</v>
      </c>
      <c r="O85" s="355">
        <f t="shared" si="34"/>
        <v>8</v>
      </c>
      <c r="P85" s="10">
        <f t="shared" si="31"/>
        <v>0.87716524683890662</v>
      </c>
      <c r="Q85" s="256" cm="1">
        <f t="array" ref="Q85">IF($E85&lt;T$6,"",INDEX('4044 Yield Curves'!$C$7:$C$66,MIN(60,2*($E85-T$6+0.5)),0))</f>
        <v>4.8399999999999999E-2</v>
      </c>
      <c r="R85" s="10">
        <f t="shared" si="32"/>
        <v>-7.458333333333333</v>
      </c>
      <c r="S85" s="10">
        <f t="shared" si="33"/>
        <v>0.70291482032222374</v>
      </c>
      <c r="T85" s="11">
        <f t="shared" si="26"/>
        <v>1</v>
      </c>
      <c r="U85" s="355">
        <f t="shared" si="35"/>
        <v>7</v>
      </c>
      <c r="W85"/>
      <c r="X85"/>
      <c r="Y85" s="13"/>
      <c r="AC85" s="13"/>
    </row>
    <row r="86" spans="2:29" ht="13" x14ac:dyDescent="0.3">
      <c r="B86" s="13"/>
      <c r="C86" s="13"/>
      <c r="D86" s="322"/>
      <c r="E86" s="8">
        <f t="shared" si="27"/>
        <v>79</v>
      </c>
      <c r="F86" s="335">
        <f>'4050 Mortality'!C84</f>
        <v>3.3450000000000001E-2</v>
      </c>
      <c r="G86" s="10">
        <f t="shared" si="28"/>
        <v>0.96655000000000002</v>
      </c>
      <c r="H86" s="259">
        <f t="shared" si="23"/>
        <v>0.98592406855629877</v>
      </c>
      <c r="I86" s="328"/>
      <c r="J86" s="10">
        <f t="shared" si="29"/>
        <v>0.84173821044880015</v>
      </c>
      <c r="K86" s="256" cm="1">
        <f t="array" ref="K86">IF($E86&lt;N$6,"",INDEX('4044 Yield Curves'!$C$7:$C$66,MIN(60,2*($E86-N$6+0.5)),0))</f>
        <v>5.0500000000000003E-2</v>
      </c>
      <c r="L86" s="10">
        <f t="shared" si="24"/>
        <v>-9.4583333333333339</v>
      </c>
      <c r="M86" s="10">
        <f t="shared" si="30"/>
        <v>0.62752201035812161</v>
      </c>
      <c r="N86" s="11">
        <f t="shared" si="25"/>
        <v>1</v>
      </c>
      <c r="O86" s="355">
        <f t="shared" si="34"/>
        <v>9</v>
      </c>
      <c r="P86" s="10">
        <f t="shared" si="31"/>
        <v>0.85133273031950085</v>
      </c>
      <c r="Q86" s="256" cm="1">
        <f t="array" ref="Q86">IF($E86&lt;T$6,"",INDEX('4044 Yield Curves'!$C$7:$C$66,MIN(60,2*($E86-T$6+0.5)),0))</f>
        <v>4.9500000000000002E-2</v>
      </c>
      <c r="R86" s="10">
        <f t="shared" si="32"/>
        <v>-8.4583333333333339</v>
      </c>
      <c r="S86" s="10">
        <f t="shared" si="33"/>
        <v>0.66454363647160042</v>
      </c>
      <c r="T86" s="11">
        <f t="shared" si="26"/>
        <v>1</v>
      </c>
      <c r="U86" s="355">
        <f t="shared" si="35"/>
        <v>8</v>
      </c>
      <c r="W86"/>
      <c r="X86"/>
      <c r="Y86" s="13"/>
      <c r="AC86" s="13"/>
    </row>
    <row r="87" spans="2:29" ht="13" x14ac:dyDescent="0.3">
      <c r="B87" s="13"/>
      <c r="C87" s="13"/>
      <c r="D87" s="322"/>
      <c r="E87" s="8">
        <f t="shared" si="27"/>
        <v>80</v>
      </c>
      <c r="F87" s="335">
        <f>'4050 Mortality'!C85</f>
        <v>3.823E-2</v>
      </c>
      <c r="G87" s="10">
        <f t="shared" si="28"/>
        <v>0.96177000000000001</v>
      </c>
      <c r="H87" s="259">
        <f t="shared" si="23"/>
        <v>0.98388954174138965</v>
      </c>
      <c r="I87" s="328"/>
      <c r="J87" s="10">
        <f t="shared" si="29"/>
        <v>0.81358206730928784</v>
      </c>
      <c r="K87" s="256" cm="1">
        <f t="array" ref="K87">IF($E87&lt;N$6,"",INDEX('4044 Yield Curves'!$C$7:$C$66,MIN(60,2*($E87-N$6+0.5)),0))</f>
        <v>5.1400000000000001E-2</v>
      </c>
      <c r="L87" s="10">
        <f t="shared" si="24"/>
        <v>-10.458333333333334</v>
      </c>
      <c r="M87" s="10">
        <f t="shared" si="30"/>
        <v>0.59202941568513712</v>
      </c>
      <c r="N87" s="11">
        <f t="shared" si="25"/>
        <v>1</v>
      </c>
      <c r="O87" s="355">
        <f t="shared" si="34"/>
        <v>10</v>
      </c>
      <c r="P87" s="10">
        <f t="shared" si="31"/>
        <v>0.82285565049031362</v>
      </c>
      <c r="Q87" s="256" cm="1">
        <f t="array" ref="Q87">IF($E87&lt;T$6,"",INDEX('4044 Yield Curves'!$C$7:$C$66,MIN(60,2*($E87-T$6+0.5)),0))</f>
        <v>5.0500000000000003E-2</v>
      </c>
      <c r="R87" s="10">
        <f t="shared" si="32"/>
        <v>-9.4583333333333339</v>
      </c>
      <c r="S87" s="10">
        <f t="shared" si="33"/>
        <v>0.62752201035812161</v>
      </c>
      <c r="T87" s="11">
        <f t="shared" si="26"/>
        <v>1</v>
      </c>
      <c r="U87" s="355">
        <f t="shared" si="35"/>
        <v>9</v>
      </c>
      <c r="W87"/>
      <c r="X87"/>
      <c r="Y87" s="13"/>
      <c r="AC87" s="13"/>
    </row>
    <row r="88" spans="2:29" ht="13" x14ac:dyDescent="0.3">
      <c r="B88" s="13"/>
      <c r="C88" s="13"/>
      <c r="D88" s="322"/>
      <c r="E88" s="8">
        <f t="shared" si="27"/>
        <v>81</v>
      </c>
      <c r="F88" s="335">
        <f>'4050 Mortality'!C86</f>
        <v>4.3150000000000001E-2</v>
      </c>
      <c r="G88" s="10">
        <f t="shared" si="28"/>
        <v>0.95684999999999998</v>
      </c>
      <c r="H88" s="259">
        <f t="shared" si="23"/>
        <v>0.98178925672601647</v>
      </c>
      <c r="I88" s="328"/>
      <c r="J88" s="10">
        <f t="shared" si="29"/>
        <v>0.7824788248760538</v>
      </c>
      <c r="K88" s="256" cm="1">
        <f t="array" ref="K88">IF($E88&lt;N$6,"",INDEX('4044 Yield Curves'!$C$7:$C$66,MIN(60,2*($E88-N$6+0.5)),0))</f>
        <v>5.2200000000000003E-2</v>
      </c>
      <c r="L88" s="10">
        <f t="shared" si="24"/>
        <v>-11.458333333333334</v>
      </c>
      <c r="M88" s="10">
        <f t="shared" si="30"/>
        <v>0.55820065478320102</v>
      </c>
      <c r="N88" s="11">
        <f t="shared" si="25"/>
        <v>1</v>
      </c>
      <c r="O88" s="355">
        <f t="shared" si="34"/>
        <v>11</v>
      </c>
      <c r="P88" s="10">
        <f t="shared" si="31"/>
        <v>0.79139787897206892</v>
      </c>
      <c r="Q88" s="256" cm="1">
        <f t="array" ref="Q88">IF($E88&lt;T$6,"",INDEX('4044 Yield Curves'!$C$7:$C$66,MIN(60,2*($E88-T$6+0.5)),0))</f>
        <v>5.1400000000000001E-2</v>
      </c>
      <c r="R88" s="10">
        <f t="shared" si="32"/>
        <v>-10.458333333333334</v>
      </c>
      <c r="S88" s="10">
        <f t="shared" si="33"/>
        <v>0.59202941568513712</v>
      </c>
      <c r="T88" s="11">
        <f t="shared" si="26"/>
        <v>1</v>
      </c>
      <c r="U88" s="355">
        <f t="shared" si="35"/>
        <v>10</v>
      </c>
      <c r="W88"/>
      <c r="X88"/>
      <c r="Y88" s="13"/>
      <c r="AC88" s="13"/>
    </row>
    <row r="89" spans="2:29" ht="13" x14ac:dyDescent="0.3">
      <c r="B89" s="13"/>
      <c r="C89" s="13"/>
      <c r="D89" s="322"/>
      <c r="E89" s="8">
        <f t="shared" si="27"/>
        <v>82</v>
      </c>
      <c r="F89" s="335">
        <f>'4050 Mortality'!C87</f>
        <v>4.8719999999999999E-2</v>
      </c>
      <c r="G89" s="10">
        <f t="shared" si="28"/>
        <v>0.95128000000000001</v>
      </c>
      <c r="H89" s="259">
        <f t="shared" si="23"/>
        <v>0.97940387780347105</v>
      </c>
      <c r="I89" s="328"/>
      <c r="J89" s="10">
        <f t="shared" si="29"/>
        <v>0.74871486358265205</v>
      </c>
      <c r="K89" s="256" cm="1">
        <f t="array" ref="K89">IF($E89&lt;N$6,"",INDEX('4044 Yield Curves'!$C$7:$C$66,MIN(60,2*($E89-N$6+0.5)),0))</f>
        <v>5.2999999999999999E-2</v>
      </c>
      <c r="L89" s="10">
        <f t="shared" si="24"/>
        <v>-12.458333333333334</v>
      </c>
      <c r="M89" s="10">
        <f t="shared" si="30"/>
        <v>0.52550865802459823</v>
      </c>
      <c r="N89" s="11">
        <f t="shared" si="25"/>
        <v>1</v>
      </c>
      <c r="O89" s="355">
        <f t="shared" si="34"/>
        <v>12</v>
      </c>
      <c r="P89" s="10">
        <f t="shared" si="31"/>
        <v>0.75724906049442409</v>
      </c>
      <c r="Q89" s="256" cm="1">
        <f t="array" ref="Q89">IF($E89&lt;T$6,"",INDEX('4044 Yield Curves'!$C$7:$C$66,MIN(60,2*($E89-T$6+0.5)),0))</f>
        <v>5.2200000000000003E-2</v>
      </c>
      <c r="R89" s="10">
        <f t="shared" si="32"/>
        <v>-11.458333333333334</v>
      </c>
      <c r="S89" s="10">
        <f t="shared" si="33"/>
        <v>0.55820065478320102</v>
      </c>
      <c r="T89" s="11">
        <f t="shared" si="26"/>
        <v>1</v>
      </c>
      <c r="U89" s="355">
        <f t="shared" si="35"/>
        <v>11</v>
      </c>
      <c r="W89"/>
      <c r="X89"/>
      <c r="Y89" s="13"/>
      <c r="AC89" s="13"/>
    </row>
    <row r="90" spans="2:29" ht="13" x14ac:dyDescent="0.3">
      <c r="B90" s="13"/>
      <c r="C90" s="13"/>
      <c r="D90" s="322"/>
      <c r="E90" s="8">
        <f t="shared" si="27"/>
        <v>83</v>
      </c>
      <c r="F90" s="335">
        <f>'4050 Mortality'!C88</f>
        <v>5.5019999999999999E-2</v>
      </c>
      <c r="G90" s="10">
        <f t="shared" si="28"/>
        <v>0.94498000000000004</v>
      </c>
      <c r="H90" s="259">
        <f t="shared" si="23"/>
        <v>0.9766960329519232</v>
      </c>
      <c r="I90" s="328"/>
      <c r="J90" s="10">
        <f t="shared" si="29"/>
        <v>0.71223747542890525</v>
      </c>
      <c r="K90" s="256" cm="1">
        <f t="array" ref="K90">IF($E90&lt;N$6,"",INDEX('4044 Yield Curves'!$C$7:$C$66,MIN(60,2*($E90-N$6+0.5)),0))</f>
        <v>5.3800000000000001E-2</v>
      </c>
      <c r="L90" s="10">
        <f t="shared" si="24"/>
        <v>-13.458333333333334</v>
      </c>
      <c r="M90" s="10">
        <f t="shared" si="30"/>
        <v>0.49398371952893788</v>
      </c>
      <c r="N90" s="11">
        <f t="shared" si="25"/>
        <v>1</v>
      </c>
      <c r="O90" s="355">
        <f t="shared" si="34"/>
        <v>13</v>
      </c>
      <c r="P90" s="10">
        <f t="shared" si="31"/>
        <v>0.72035588626713576</v>
      </c>
      <c r="Q90" s="256" cm="1">
        <f t="array" ref="Q90">IF($E90&lt;T$6,"",INDEX('4044 Yield Curves'!$C$7:$C$66,MIN(60,2*($E90-T$6+0.5)),0))</f>
        <v>5.2999999999999999E-2</v>
      </c>
      <c r="R90" s="10">
        <f t="shared" si="32"/>
        <v>-12.458333333333334</v>
      </c>
      <c r="S90" s="10">
        <f t="shared" si="33"/>
        <v>0.52550865802459823</v>
      </c>
      <c r="T90" s="11">
        <f t="shared" si="26"/>
        <v>1</v>
      </c>
      <c r="U90" s="355">
        <f t="shared" si="35"/>
        <v>12</v>
      </c>
      <c r="W90"/>
      <c r="X90"/>
      <c r="Y90" s="13"/>
      <c r="AC90" s="13"/>
    </row>
    <row r="91" spans="2:29" ht="13" x14ac:dyDescent="0.3">
      <c r="B91" s="13"/>
      <c r="C91" s="13"/>
      <c r="D91" s="322"/>
      <c r="E91" s="8">
        <f t="shared" si="27"/>
        <v>84</v>
      </c>
      <c r="F91" s="335">
        <f>'4050 Mortality'!C89</f>
        <v>6.2170000000000003E-2</v>
      </c>
      <c r="G91" s="10">
        <f t="shared" si="28"/>
        <v>0.93782999999999994</v>
      </c>
      <c r="H91" s="259">
        <f t="shared" si="23"/>
        <v>0.9736100550950163</v>
      </c>
      <c r="I91" s="328"/>
      <c r="J91" s="10">
        <f t="shared" si="29"/>
        <v>0.67305016953080687</v>
      </c>
      <c r="K91" s="256" cm="1">
        <f t="array" ref="K91">IF($E91&lt;N$6,"",INDEX('4044 Yield Curves'!$C$7:$C$66,MIN(60,2*($E91-N$6+0.5)),0))</f>
        <v>5.4300000000000001E-2</v>
      </c>
      <c r="L91" s="10">
        <f t="shared" si="24"/>
        <v>-14.458333333333334</v>
      </c>
      <c r="M91" s="10">
        <f t="shared" si="30"/>
        <v>0.46556020143882654</v>
      </c>
      <c r="N91" s="11">
        <f t="shared" si="25"/>
        <v>1</v>
      </c>
      <c r="O91" s="355">
        <f t="shared" si="34"/>
        <v>14</v>
      </c>
      <c r="P91" s="10">
        <f t="shared" si="31"/>
        <v>0.680721905404718</v>
      </c>
      <c r="Q91" s="256" cm="1">
        <f t="array" ref="Q91">IF($E91&lt;T$6,"",INDEX('4044 Yield Curves'!$C$7:$C$66,MIN(60,2*($E91-T$6+0.5)),0))</f>
        <v>5.3800000000000001E-2</v>
      </c>
      <c r="R91" s="10">
        <f t="shared" si="32"/>
        <v>-13.458333333333334</v>
      </c>
      <c r="S91" s="10">
        <f t="shared" si="33"/>
        <v>0.49398371952893788</v>
      </c>
      <c r="T91" s="11">
        <f t="shared" si="26"/>
        <v>1</v>
      </c>
      <c r="U91" s="355">
        <f t="shared" si="35"/>
        <v>13</v>
      </c>
      <c r="W91"/>
      <c r="X91"/>
      <c r="Y91" s="13"/>
      <c r="AC91" s="13"/>
    </row>
    <row r="92" spans="2:29" ht="13" x14ac:dyDescent="0.3">
      <c r="B92" s="13"/>
      <c r="C92" s="13"/>
      <c r="D92" s="322"/>
      <c r="E92" s="8">
        <f t="shared" si="27"/>
        <v>85</v>
      </c>
      <c r="F92" s="335">
        <f>'4050 Mortality'!C90</f>
        <v>7.0290000000000005E-2</v>
      </c>
      <c r="G92" s="10">
        <f t="shared" si="28"/>
        <v>0.92971000000000004</v>
      </c>
      <c r="H92" s="259">
        <f t="shared" si="23"/>
        <v>0.97008873017749708</v>
      </c>
      <c r="I92" s="328"/>
      <c r="J92" s="10">
        <f t="shared" si="29"/>
        <v>0.63120664049107655</v>
      </c>
      <c r="K92" s="256" cm="1">
        <f t="array" ref="K92">IF($E92&lt;N$6,"",INDEX('4044 Yield Curves'!$C$7:$C$66,MIN(60,2*($E92-N$6+0.5)),0))</f>
        <v>5.5E-2</v>
      </c>
      <c r="L92" s="10">
        <f t="shared" si="24"/>
        <v>-15.458333333333334</v>
      </c>
      <c r="M92" s="10">
        <f t="shared" si="30"/>
        <v>0.43707476039670068</v>
      </c>
      <c r="N92" s="11">
        <f t="shared" si="25"/>
        <v>1</v>
      </c>
      <c r="O92" s="355">
        <f t="shared" si="34"/>
        <v>15</v>
      </c>
      <c r="P92" s="10">
        <f t="shared" si="31"/>
        <v>0.63840142454570659</v>
      </c>
      <c r="Q92" s="256" cm="1">
        <f t="array" ref="Q92">IF($E92&lt;T$6,"",INDEX('4044 Yield Curves'!$C$7:$C$66,MIN(60,2*($E92-T$6+0.5)),0))</f>
        <v>5.4300000000000001E-2</v>
      </c>
      <c r="R92" s="10">
        <f t="shared" si="32"/>
        <v>-14.458333333333334</v>
      </c>
      <c r="S92" s="10">
        <f t="shared" si="33"/>
        <v>0.46556020143882654</v>
      </c>
      <c r="T92" s="11">
        <f t="shared" si="26"/>
        <v>1</v>
      </c>
      <c r="U92" s="355">
        <f t="shared" si="35"/>
        <v>14</v>
      </c>
      <c r="W92"/>
      <c r="X92"/>
      <c r="Y92" s="13"/>
      <c r="AC92" s="13"/>
    </row>
    <row r="93" spans="2:29" ht="13" x14ac:dyDescent="0.3">
      <c r="B93" s="13"/>
      <c r="C93" s="13"/>
      <c r="D93" s="322"/>
      <c r="E93" s="8">
        <f t="shared" si="27"/>
        <v>86</v>
      </c>
      <c r="F93" s="335">
        <f>'4050 Mortality'!C91</f>
        <v>7.9469999999999999E-2</v>
      </c>
      <c r="G93" s="10">
        <f t="shared" si="28"/>
        <v>0.92052999999999996</v>
      </c>
      <c r="H93" s="259">
        <f t="shared" si="23"/>
        <v>0.96608605011743542</v>
      </c>
      <c r="I93" s="328"/>
      <c r="J93" s="10">
        <f t="shared" si="29"/>
        <v>0.58683912573095875</v>
      </c>
      <c r="K93" s="256" cm="1">
        <f t="array" ref="K93">IF($E93&lt;N$6,"",INDEX('4044 Yield Curves'!$C$7:$C$66,MIN(60,2*($E93-N$6+0.5)),0))</f>
        <v>5.5499999999999994E-2</v>
      </c>
      <c r="L93" s="10">
        <f t="shared" si="24"/>
        <v>-16.458333333333332</v>
      </c>
      <c r="M93" s="10">
        <f t="shared" si="30"/>
        <v>0.41107068380710249</v>
      </c>
      <c r="N93" s="11">
        <f t="shared" si="25"/>
        <v>1</v>
      </c>
      <c r="O93" s="355">
        <f t="shared" si="34"/>
        <v>16</v>
      </c>
      <c r="P93" s="10">
        <f t="shared" si="31"/>
        <v>0.59352818841438892</v>
      </c>
      <c r="Q93" s="256" cm="1">
        <f t="array" ref="Q93">IF($E93&lt;T$6,"",INDEX('4044 Yield Curves'!$C$7:$C$66,MIN(60,2*($E93-T$6+0.5)),0))</f>
        <v>5.5E-2</v>
      </c>
      <c r="R93" s="10">
        <f t="shared" si="32"/>
        <v>-15.458333333333334</v>
      </c>
      <c r="S93" s="10">
        <f t="shared" si="33"/>
        <v>0.43707476039670068</v>
      </c>
      <c r="T93" s="11">
        <f t="shared" si="26"/>
        <v>1</v>
      </c>
      <c r="U93" s="355">
        <f t="shared" si="35"/>
        <v>15</v>
      </c>
      <c r="W93"/>
      <c r="X93"/>
      <c r="Y93" s="13"/>
      <c r="AC93" s="13"/>
    </row>
    <row r="94" spans="2:29" ht="13" x14ac:dyDescent="0.3">
      <c r="B94" s="13"/>
      <c r="C94" s="13"/>
      <c r="D94" s="322"/>
      <c r="E94" s="8">
        <f t="shared" si="27"/>
        <v>87</v>
      </c>
      <c r="F94" s="335">
        <f>'4050 Mortality'!C92</f>
        <v>8.9819999999999997E-2</v>
      </c>
      <c r="G94" s="10">
        <f t="shared" si="28"/>
        <v>0.91017999999999999</v>
      </c>
      <c r="H94" s="259">
        <f t="shared" si="23"/>
        <v>0.96154519823440066</v>
      </c>
      <c r="I94" s="328"/>
      <c r="J94" s="10">
        <f t="shared" si="29"/>
        <v>0.54020302040911949</v>
      </c>
      <c r="K94" s="256" cm="1">
        <f t="array" ref="K94">IF($E94&lt;N$6,"",INDEX('4044 Yield Curves'!$C$7:$C$66,MIN(60,2*($E94-N$6+0.5)),0))</f>
        <v>5.5900000000000005E-2</v>
      </c>
      <c r="L94" s="10">
        <f t="shared" si="24"/>
        <v>-17.458333333333332</v>
      </c>
      <c r="M94" s="10">
        <f t="shared" si="30"/>
        <v>0.38688817860758634</v>
      </c>
      <c r="N94" s="11">
        <f t="shared" si="25"/>
        <v>1</v>
      </c>
      <c r="O94" s="355">
        <f t="shared" si="34"/>
        <v>17</v>
      </c>
      <c r="P94" s="10">
        <f t="shared" si="31"/>
        <v>0.54636050328109742</v>
      </c>
      <c r="Q94" s="256" cm="1">
        <f t="array" ref="Q94">IF($E94&lt;T$6,"",INDEX('4044 Yield Curves'!$C$7:$C$66,MIN(60,2*($E94-T$6+0.5)),0))</f>
        <v>5.5499999999999994E-2</v>
      </c>
      <c r="R94" s="10">
        <f t="shared" si="32"/>
        <v>-16.458333333333332</v>
      </c>
      <c r="S94" s="10">
        <f t="shared" si="33"/>
        <v>0.41107068380710249</v>
      </c>
      <c r="T94" s="11">
        <f t="shared" si="26"/>
        <v>1</v>
      </c>
      <c r="U94" s="355">
        <f t="shared" si="35"/>
        <v>16</v>
      </c>
      <c r="W94"/>
      <c r="X94"/>
      <c r="Y94" s="13"/>
      <c r="AC94" s="13"/>
    </row>
    <row r="95" spans="2:29" ht="13" x14ac:dyDescent="0.3">
      <c r="B95" s="13"/>
      <c r="C95" s="13"/>
      <c r="D95" s="322"/>
      <c r="E95" s="8">
        <f t="shared" si="27"/>
        <v>88</v>
      </c>
      <c r="F95" s="335">
        <f>'4050 Mortality'!C93</f>
        <v>0.10154000000000001</v>
      </c>
      <c r="G95" s="10">
        <f t="shared" si="28"/>
        <v>0.89846000000000004</v>
      </c>
      <c r="H95" s="259">
        <f t="shared" si="23"/>
        <v>0.95636677036501483</v>
      </c>
      <c r="I95" s="328"/>
      <c r="J95" s="10">
        <f t="shared" si="29"/>
        <v>0.49168198511597239</v>
      </c>
      <c r="K95" s="256" cm="1">
        <f t="array" ref="K95">IF($E95&lt;N$6,"",INDEX('4044 Yield Curves'!$C$7:$C$66,MIN(60,2*($E95-N$6+0.5)),0))</f>
        <v>5.6300000000000003E-2</v>
      </c>
      <c r="L95" s="10">
        <f t="shared" si="24"/>
        <v>-18.458333333333332</v>
      </c>
      <c r="M95" s="10">
        <f t="shared" si="30"/>
        <v>0.36385341930136994</v>
      </c>
      <c r="N95" s="11">
        <f t="shared" si="25"/>
        <v>1</v>
      </c>
      <c r="O95" s="355">
        <f t="shared" si="34"/>
        <v>18</v>
      </c>
      <c r="P95" s="10">
        <f t="shared" si="31"/>
        <v>0.49728640287638926</v>
      </c>
      <c r="Q95" s="256" cm="1">
        <f t="array" ref="Q95">IF($E95&lt;T$6,"",INDEX('4044 Yield Curves'!$C$7:$C$66,MIN(60,2*($E95-T$6+0.5)),0))</f>
        <v>5.5900000000000005E-2</v>
      </c>
      <c r="R95" s="10">
        <f t="shared" si="32"/>
        <v>-17.458333333333332</v>
      </c>
      <c r="S95" s="10">
        <f t="shared" si="33"/>
        <v>0.38688817860758634</v>
      </c>
      <c r="T95" s="11">
        <f t="shared" si="26"/>
        <v>1</v>
      </c>
      <c r="U95" s="355">
        <f t="shared" si="35"/>
        <v>17</v>
      </c>
      <c r="W95"/>
      <c r="X95"/>
      <c r="Y95" s="13"/>
      <c r="AC95" s="13"/>
    </row>
    <row r="96" spans="2:29" ht="13" x14ac:dyDescent="0.3">
      <c r="B96" s="13"/>
      <c r="C96" s="13"/>
      <c r="D96" s="322"/>
      <c r="E96" s="8">
        <f t="shared" si="27"/>
        <v>89</v>
      </c>
      <c r="F96" s="335">
        <f>'4050 Mortality'!C94</f>
        <v>0.11457000000000001</v>
      </c>
      <c r="G96" s="10">
        <f t="shared" si="28"/>
        <v>0.88542999999999994</v>
      </c>
      <c r="H96" s="259">
        <f t="shared" si="23"/>
        <v>0.95056305377076122</v>
      </c>
      <c r="I96" s="328"/>
      <c r="J96" s="10">
        <f t="shared" si="29"/>
        <v>0.44175659634729658</v>
      </c>
      <c r="K96" s="256" cm="1">
        <f t="array" ref="K96">IF($E96&lt;N$6,"",INDEX('4044 Yield Curves'!$C$7:$C$66,MIN(60,2*($E96-N$6+0.5)),0))</f>
        <v>5.6599999999999998E-2</v>
      </c>
      <c r="L96" s="10">
        <f t="shared" si="24"/>
        <v>-19.458333333333332</v>
      </c>
      <c r="M96" s="10">
        <f t="shared" si="30"/>
        <v>0.34256220973359452</v>
      </c>
      <c r="N96" s="11">
        <f t="shared" si="25"/>
        <v>1</v>
      </c>
      <c r="O96" s="355">
        <f t="shared" si="34"/>
        <v>19</v>
      </c>
      <c r="P96" s="10">
        <f t="shared" si="31"/>
        <v>0.44679194152832069</v>
      </c>
      <c r="Q96" s="256" cm="1">
        <f t="array" ref="Q96">IF($E96&lt;T$6,"",INDEX('4044 Yield Curves'!$C$7:$C$66,MIN(60,2*($E96-T$6+0.5)),0))</f>
        <v>5.6300000000000003E-2</v>
      </c>
      <c r="R96" s="10">
        <f t="shared" si="32"/>
        <v>-18.458333333333332</v>
      </c>
      <c r="S96" s="10">
        <f t="shared" si="33"/>
        <v>0.36385341930136994</v>
      </c>
      <c r="T96" s="11">
        <f t="shared" si="26"/>
        <v>1</v>
      </c>
      <c r="U96" s="355">
        <f t="shared" si="35"/>
        <v>18</v>
      </c>
      <c r="W96"/>
      <c r="X96"/>
      <c r="Y96" s="13"/>
      <c r="AC96" s="13"/>
    </row>
    <row r="97" spans="2:29" ht="13" x14ac:dyDescent="0.3">
      <c r="B97" s="13"/>
      <c r="C97" s="13"/>
      <c r="D97" s="322"/>
      <c r="E97" s="8">
        <f t="shared" si="27"/>
        <v>90</v>
      </c>
      <c r="F97" s="335">
        <f>'4050 Mortality'!C95</f>
        <v>0.12889</v>
      </c>
      <c r="G97" s="10">
        <f t="shared" si="28"/>
        <v>0.87111000000000005</v>
      </c>
      <c r="H97" s="259">
        <f t="shared" si="23"/>
        <v>0.94412699712213199</v>
      </c>
      <c r="I97" s="328"/>
      <c r="J97" s="10">
        <f t="shared" si="29"/>
        <v>0.39114454310378677</v>
      </c>
      <c r="K97" s="256" cm="1">
        <f t="array" ref="K97">IF($E97&lt;N$6,"",INDEX('4044 Yield Curves'!$C$7:$C$66,MIN(60,2*($E97-N$6+0.5)),0))</f>
        <v>5.6799999999999996E-2</v>
      </c>
      <c r="L97" s="10">
        <f t="shared" si="24"/>
        <v>-20.458333333333332</v>
      </c>
      <c r="M97" s="10">
        <f t="shared" si="30"/>
        <v>0.32295886175025501</v>
      </c>
      <c r="N97" s="11">
        <f t="shared" si="25"/>
        <v>1</v>
      </c>
      <c r="O97" s="355">
        <f t="shared" si="34"/>
        <v>20</v>
      </c>
      <c r="P97" s="10">
        <f t="shared" si="31"/>
        <v>0.39560298878742095</v>
      </c>
      <c r="Q97" s="256" cm="1">
        <f t="array" ref="Q97">IF($E97&lt;T$6,"",INDEX('4044 Yield Curves'!$C$7:$C$66,MIN(60,2*($E97-T$6+0.5)),0))</f>
        <v>5.6599999999999998E-2</v>
      </c>
      <c r="R97" s="10">
        <f t="shared" si="32"/>
        <v>-19.458333333333332</v>
      </c>
      <c r="S97" s="10">
        <f t="shared" si="33"/>
        <v>0.34256220973359452</v>
      </c>
      <c r="T97" s="11">
        <f t="shared" si="26"/>
        <v>1</v>
      </c>
      <c r="U97" s="355">
        <f t="shared" si="35"/>
        <v>19</v>
      </c>
      <c r="W97"/>
      <c r="X97"/>
      <c r="Y97" s="13"/>
      <c r="AC97" s="13"/>
    </row>
    <row r="98" spans="2:29" ht="13" x14ac:dyDescent="0.3">
      <c r="B98" s="13"/>
      <c r="C98" s="13"/>
      <c r="D98" s="322"/>
      <c r="E98" s="8">
        <f t="shared" si="27"/>
        <v>91</v>
      </c>
      <c r="F98" s="335">
        <f>'4050 Mortality'!C96</f>
        <v>0.14387</v>
      </c>
      <c r="G98" s="10">
        <f t="shared" si="28"/>
        <v>0.85613000000000006</v>
      </c>
      <c r="H98" s="259">
        <f t="shared" si="23"/>
        <v>0.93732790857719606</v>
      </c>
      <c r="I98" s="328"/>
      <c r="J98" s="10">
        <f t="shared" si="29"/>
        <v>0.3407299229431397</v>
      </c>
      <c r="K98" s="256" cm="1">
        <f t="array" ref="K98">IF($E98&lt;N$6,"",INDEX('4044 Yield Curves'!$C$7:$C$66,MIN(60,2*($E98-N$6+0.5)),0))</f>
        <v>5.6899999999999999E-2</v>
      </c>
      <c r="L98" s="10">
        <f t="shared" si="24"/>
        <v>-21.458333333333332</v>
      </c>
      <c r="M98" s="10">
        <f t="shared" si="30"/>
        <v>0.30498087601827151</v>
      </c>
      <c r="N98" s="11">
        <f t="shared" si="25"/>
        <v>1</v>
      </c>
      <c r="O98" s="355">
        <f t="shared" si="34"/>
        <v>21</v>
      </c>
      <c r="P98" s="10">
        <f t="shared" si="31"/>
        <v>0.34461371956261028</v>
      </c>
      <c r="Q98" s="256" cm="1">
        <f t="array" ref="Q98">IF($E98&lt;T$6,"",INDEX('4044 Yield Curves'!$C$7:$C$66,MIN(60,2*($E98-T$6+0.5)),0))</f>
        <v>5.6799999999999996E-2</v>
      </c>
      <c r="R98" s="10">
        <f t="shared" si="32"/>
        <v>-20.458333333333332</v>
      </c>
      <c r="S98" s="10">
        <f t="shared" si="33"/>
        <v>0.32295886175025501</v>
      </c>
      <c r="T98" s="11">
        <f t="shared" si="26"/>
        <v>1</v>
      </c>
      <c r="U98" s="355">
        <f t="shared" si="35"/>
        <v>20</v>
      </c>
      <c r="W98"/>
      <c r="X98"/>
      <c r="Y98" s="13"/>
      <c r="AC98" s="13"/>
    </row>
    <row r="99" spans="2:29" ht="13" x14ac:dyDescent="0.3">
      <c r="B99" s="13"/>
      <c r="C99" s="13"/>
      <c r="D99" s="322"/>
      <c r="E99" s="8">
        <f t="shared" si="27"/>
        <v>92</v>
      </c>
      <c r="F99" s="335">
        <f>'4050 Mortality'!C97</f>
        <v>0.15933</v>
      </c>
      <c r="G99" s="10">
        <f t="shared" si="28"/>
        <v>0.84067000000000003</v>
      </c>
      <c r="H99" s="259">
        <f t="shared" si="23"/>
        <v>0.93023779139647145</v>
      </c>
      <c r="I99" s="328"/>
      <c r="J99" s="10">
        <f t="shared" si="29"/>
        <v>0.29170910892931023</v>
      </c>
      <c r="K99" s="256" cm="1">
        <f t="array" ref="K99">IF($E99&lt;N$6,"",INDEX('4044 Yield Curves'!$C$7:$C$66,MIN(60,2*($E99-N$6+0.5)),0))</f>
        <v>5.7000000000000002E-2</v>
      </c>
      <c r="L99" s="10">
        <f t="shared" si="24"/>
        <v>-22.458333333333332</v>
      </c>
      <c r="M99" s="10">
        <f t="shared" si="30"/>
        <v>0.28794922239232396</v>
      </c>
      <c r="N99" s="11">
        <f t="shared" si="25"/>
        <v>1</v>
      </c>
      <c r="O99" s="355">
        <f t="shared" si="34"/>
        <v>22</v>
      </c>
      <c r="P99" s="10">
        <f t="shared" si="31"/>
        <v>0.29503414372913755</v>
      </c>
      <c r="Q99" s="256" cm="1">
        <f t="array" ref="Q99">IF($E99&lt;T$6,"",INDEX('4044 Yield Curves'!$C$7:$C$66,MIN(60,2*($E99-T$6+0.5)),0))</f>
        <v>5.6899999999999999E-2</v>
      </c>
      <c r="R99" s="10">
        <f t="shared" si="32"/>
        <v>-21.458333333333332</v>
      </c>
      <c r="S99" s="10">
        <f t="shared" si="33"/>
        <v>0.30498087601827151</v>
      </c>
      <c r="T99" s="11">
        <f t="shared" si="26"/>
        <v>1</v>
      </c>
      <c r="U99" s="355">
        <f t="shared" si="35"/>
        <v>21</v>
      </c>
      <c r="W99"/>
      <c r="X99"/>
      <c r="Y99" s="13"/>
      <c r="AC99" s="13"/>
    </row>
    <row r="100" spans="2:29" ht="13" x14ac:dyDescent="0.3">
      <c r="B100" s="13"/>
      <c r="C100" s="13"/>
      <c r="D100" s="322"/>
      <c r="E100" s="8">
        <f t="shared" si="27"/>
        <v>93</v>
      </c>
      <c r="F100" s="335">
        <f>'4050 Mortality'!C98</f>
        <v>0.17521999999999999</v>
      </c>
      <c r="G100" s="10">
        <f t="shared" si="28"/>
        <v>0.82478000000000007</v>
      </c>
      <c r="H100" s="259">
        <f t="shared" si="23"/>
        <v>0.92287075515804118</v>
      </c>
      <c r="I100" s="328"/>
      <c r="J100" s="10">
        <f t="shared" si="29"/>
        <v>0.24523109660360323</v>
      </c>
      <c r="K100" s="256" cm="1">
        <f t="array" ref="K100">IF($E100&lt;N$6,"",INDEX('4044 Yield Curves'!$C$7:$C$66,MIN(60,2*($E100-N$6+0.5)),0))</f>
        <v>5.7000000000000002E-2</v>
      </c>
      <c r="L100" s="10">
        <f t="shared" si="24"/>
        <v>-23.458333333333332</v>
      </c>
      <c r="M100" s="10">
        <f t="shared" si="30"/>
        <v>0.27242121323777108</v>
      </c>
      <c r="N100" s="11">
        <f t="shared" si="25"/>
        <v>1</v>
      </c>
      <c r="O100" s="355">
        <f t="shared" si="34"/>
        <v>23</v>
      </c>
      <c r="P100" s="10">
        <f t="shared" si="31"/>
        <v>0.24802635360877406</v>
      </c>
      <c r="Q100" s="256" cm="1">
        <f t="array" ref="Q100">IF($E100&lt;T$6,"",INDEX('4044 Yield Curves'!$C$7:$C$66,MIN(60,2*($E100-T$6+0.5)),0))</f>
        <v>5.7000000000000002E-2</v>
      </c>
      <c r="R100" s="10">
        <f t="shared" si="32"/>
        <v>-22.458333333333332</v>
      </c>
      <c r="S100" s="10">
        <f t="shared" si="33"/>
        <v>0.28794922239232396</v>
      </c>
      <c r="T100" s="11">
        <f t="shared" si="26"/>
        <v>1</v>
      </c>
      <c r="U100" s="355">
        <f t="shared" si="35"/>
        <v>22</v>
      </c>
      <c r="W100"/>
      <c r="X100"/>
      <c r="Y100" s="13"/>
      <c r="AC100" s="13"/>
    </row>
    <row r="101" spans="2:29" ht="13" x14ac:dyDescent="0.3">
      <c r="B101" s="13"/>
      <c r="D101" s="322"/>
      <c r="E101" s="8">
        <f t="shared" si="27"/>
        <v>94</v>
      </c>
      <c r="F101" s="335">
        <f>'4050 Mortality'!C99</f>
        <v>0.19127</v>
      </c>
      <c r="G101" s="10">
        <f t="shared" si="28"/>
        <v>0.80872999999999995</v>
      </c>
      <c r="H101" s="259">
        <f t="shared" si="23"/>
        <v>0.91534500092520377</v>
      </c>
      <c r="I101" s="328"/>
      <c r="J101" s="10">
        <f t="shared" si="29"/>
        <v>0.2022617038567199</v>
      </c>
      <c r="K101" s="256" cm="1">
        <f t="array" ref="K101">IF($E101&lt;N$6,"",INDEX('4044 Yield Curves'!$C$7:$C$66,MIN(60,2*($E101-N$6+0.5)),0))</f>
        <v>5.7000000000000002E-2</v>
      </c>
      <c r="L101" s="10">
        <f t="shared" si="24"/>
        <v>-24.458333333333332</v>
      </c>
      <c r="M101" s="10">
        <f t="shared" si="30"/>
        <v>0.25773057070744665</v>
      </c>
      <c r="N101" s="11">
        <f t="shared" si="25"/>
        <v>1</v>
      </c>
      <c r="O101" s="355">
        <f t="shared" si="34"/>
        <v>24</v>
      </c>
      <c r="P101" s="10">
        <f t="shared" si="31"/>
        <v>0.20456717592944468</v>
      </c>
      <c r="Q101" s="256" cm="1">
        <f t="array" ref="Q101">IF($E101&lt;T$6,"",INDEX('4044 Yield Curves'!$C$7:$C$66,MIN(60,2*($E101-T$6+0.5)),0))</f>
        <v>5.7000000000000002E-2</v>
      </c>
      <c r="R101" s="10">
        <f t="shared" si="32"/>
        <v>-23.458333333333332</v>
      </c>
      <c r="S101" s="10">
        <f t="shared" si="33"/>
        <v>0.27242121323777108</v>
      </c>
      <c r="T101" s="11">
        <f t="shared" si="26"/>
        <v>1</v>
      </c>
      <c r="U101" s="355">
        <f t="shared" si="35"/>
        <v>23</v>
      </c>
      <c r="W101"/>
      <c r="X101"/>
      <c r="Y101" s="13"/>
      <c r="AC101" s="13"/>
    </row>
    <row r="102" spans="2:29" ht="13" x14ac:dyDescent="0.3">
      <c r="B102" s="13"/>
      <c r="D102" s="322"/>
      <c r="E102" s="8">
        <f t="shared" si="27"/>
        <v>95</v>
      </c>
      <c r="F102" s="335">
        <f>'4050 Mortality'!C100</f>
        <v>0.20745</v>
      </c>
      <c r="G102" s="10">
        <f t="shared" si="28"/>
        <v>0.79254999999999998</v>
      </c>
      <c r="H102" s="259">
        <f t="shared" si="23"/>
        <v>0.90766957733343412</v>
      </c>
      <c r="I102" s="328"/>
      <c r="J102" s="10">
        <f t="shared" si="29"/>
        <v>0.16357510776004508</v>
      </c>
      <c r="K102" s="256" cm="1">
        <f t="array" ref="K102">IF($E102&lt;N$6,"",INDEX('4044 Yield Curves'!$C$7:$C$66,MIN(60,2*($E102-N$6+0.5)),0))</f>
        <v>5.7000000000000002E-2</v>
      </c>
      <c r="L102" s="10">
        <f t="shared" si="24"/>
        <v>-25.458333333333332</v>
      </c>
      <c r="M102" s="10">
        <f t="shared" si="30"/>
        <v>0.2438321387960706</v>
      </c>
      <c r="N102" s="11">
        <f t="shared" si="25"/>
        <v>1</v>
      </c>
      <c r="O102" s="355">
        <f t="shared" si="34"/>
        <v>25</v>
      </c>
      <c r="P102" s="10">
        <f t="shared" si="31"/>
        <v>0.16543961218941977</v>
      </c>
      <c r="Q102" s="256" cm="1">
        <f t="array" ref="Q102">IF($E102&lt;T$6,"",INDEX('4044 Yield Curves'!$C$7:$C$66,MIN(60,2*($E102-T$6+0.5)),0))</f>
        <v>5.7000000000000002E-2</v>
      </c>
      <c r="R102" s="10">
        <f t="shared" si="32"/>
        <v>-24.458333333333332</v>
      </c>
      <c r="S102" s="10">
        <f t="shared" si="33"/>
        <v>0.25773057070744665</v>
      </c>
      <c r="T102" s="11">
        <f t="shared" si="26"/>
        <v>1</v>
      </c>
      <c r="U102" s="355">
        <f t="shared" si="35"/>
        <v>24</v>
      </c>
      <c r="W102"/>
      <c r="X102"/>
      <c r="Y102" s="13"/>
      <c r="AC102" s="13"/>
    </row>
    <row r="103" spans="2:29" ht="13" x14ac:dyDescent="0.3">
      <c r="B103" s="13"/>
      <c r="D103" s="322"/>
      <c r="E103" s="8">
        <f t="shared" si="27"/>
        <v>96</v>
      </c>
      <c r="F103" s="335">
        <f>'4050 Mortality'!C101</f>
        <v>0.22467000000000001</v>
      </c>
      <c r="G103" s="10">
        <f t="shared" si="28"/>
        <v>0.77532999999999996</v>
      </c>
      <c r="H103" s="259">
        <f t="shared" si="23"/>
        <v>0.89939971419405507</v>
      </c>
      <c r="I103" s="328"/>
      <c r="J103" s="10">
        <f t="shared" si="29"/>
        <v>0.12964145165522373</v>
      </c>
      <c r="K103" s="256" cm="1">
        <f t="array" ref="K103">IF($E103&lt;N$6,"",INDEX('4044 Yield Curves'!$C$7:$C$66,MIN(60,2*($E103-N$6+0.5)),0))</f>
        <v>5.7099999999999998E-2</v>
      </c>
      <c r="L103" s="10">
        <f t="shared" ref="L103:L127" si="36">IF($E103&lt;N$6,"",(N$6-$E103-11/24))</f>
        <v>-26.458333333333332</v>
      </c>
      <c r="M103" s="10">
        <f t="shared" si="30"/>
        <v>0.23010651046820241</v>
      </c>
      <c r="N103" s="11">
        <f t="shared" ref="N103:N127" si="37">IF($E103&gt;=N$6,1,0)</f>
        <v>1</v>
      </c>
      <c r="O103" s="355">
        <f t="shared" si="34"/>
        <v>26</v>
      </c>
      <c r="P103" s="10">
        <f t="shared" si="31"/>
        <v>0.13111916464072462</v>
      </c>
      <c r="Q103" s="256" cm="1">
        <f t="array" ref="Q103">IF($E103&lt;T$6,"",INDEX('4044 Yield Curves'!$C$7:$C$66,MIN(60,2*($E103-T$6+0.5)),0))</f>
        <v>5.7000000000000002E-2</v>
      </c>
      <c r="R103" s="10">
        <f t="shared" si="32"/>
        <v>-25.458333333333332</v>
      </c>
      <c r="S103" s="10">
        <f t="shared" si="33"/>
        <v>0.2438321387960706</v>
      </c>
      <c r="T103" s="11">
        <f t="shared" ref="T103:T127" si="38">IF($E103&gt;=T$6,1,0)</f>
        <v>1</v>
      </c>
      <c r="U103" s="355">
        <f t="shared" si="35"/>
        <v>25</v>
      </c>
      <c r="W103"/>
      <c r="X103"/>
      <c r="Y103" s="13"/>
      <c r="AC103" s="13"/>
    </row>
    <row r="104" spans="2:29" ht="13" x14ac:dyDescent="0.3">
      <c r="B104" s="13"/>
      <c r="D104" s="322"/>
      <c r="E104" s="8">
        <f t="shared" si="27"/>
        <v>97</v>
      </c>
      <c r="F104" s="335">
        <f>'4050 Mortality'!C102</f>
        <v>0.24234</v>
      </c>
      <c r="G104" s="10">
        <f t="shared" si="28"/>
        <v>0.75766</v>
      </c>
      <c r="H104" s="259">
        <f t="shared" si="23"/>
        <v>0.89080158928396214</v>
      </c>
      <c r="I104" s="328"/>
      <c r="J104" s="10">
        <f t="shared" ref="J104:J127" si="39">IF($E103&lt;$A$5,1,J103*$G103)</f>
        <v>0.10051490671184461</v>
      </c>
      <c r="K104" s="256" cm="1">
        <f t="array" ref="K104">IF($E104&lt;N$6,"",INDEX('4044 Yield Curves'!$C$7:$C$66,MIN(60,2*($E104-N$6+0.5)),0))</f>
        <v>5.7099999999999998E-2</v>
      </c>
      <c r="L104" s="10">
        <f t="shared" si="36"/>
        <v>-27.458333333333332</v>
      </c>
      <c r="M104" s="10">
        <f t="shared" ref="M104:M127" si="40">IF($E104&lt;N$6,1,(1+K104)^L104)</f>
        <v>0.21767714546230479</v>
      </c>
      <c r="N104" s="11">
        <f t="shared" si="37"/>
        <v>1</v>
      </c>
      <c r="O104" s="355">
        <f t="shared" si="34"/>
        <v>27</v>
      </c>
      <c r="P104" s="10">
        <f t="shared" ref="P104:P127" si="41">IF($E103&lt;$A$6,1,P103*$G103)</f>
        <v>0.10166062192089302</v>
      </c>
      <c r="Q104" s="256" cm="1">
        <f t="array" ref="Q104">IF($E104&lt;T$6,"",INDEX('4044 Yield Curves'!$C$7:$C$66,MIN(60,2*($E104-T$6+0.5)),0))</f>
        <v>5.7099999999999998E-2</v>
      </c>
      <c r="R104" s="10">
        <f t="shared" ref="R104:R127" si="42">IF($E104&lt;T$6,"",(T$6-$E104-11/24))</f>
        <v>-26.458333333333332</v>
      </c>
      <c r="S104" s="10">
        <f t="shared" ref="S104:S127" si="43">IF($E104&lt;T$6,1,(1+Q104)^R104)</f>
        <v>0.23010651046820241</v>
      </c>
      <c r="T104" s="11">
        <f t="shared" si="38"/>
        <v>1</v>
      </c>
      <c r="U104" s="355">
        <f t="shared" si="35"/>
        <v>26</v>
      </c>
      <c r="W104"/>
      <c r="X104"/>
      <c r="Y104" s="13"/>
      <c r="AC104" s="13"/>
    </row>
    <row r="105" spans="2:29" ht="13" x14ac:dyDescent="0.3">
      <c r="B105" s="13"/>
      <c r="D105" s="322"/>
      <c r="E105" s="8">
        <f t="shared" si="27"/>
        <v>98</v>
      </c>
      <c r="F105" s="335">
        <f>'4050 Mortality'!C103</f>
        <v>0.26047999999999999</v>
      </c>
      <c r="G105" s="10">
        <f t="shared" si="28"/>
        <v>0.73951999999999996</v>
      </c>
      <c r="H105" s="259">
        <f t="shared" si="23"/>
        <v>0.88185219772789103</v>
      </c>
      <c r="I105" s="328"/>
      <c r="J105" s="10">
        <f t="shared" si="39"/>
        <v>7.6156124219296184E-2</v>
      </c>
      <c r="K105" s="256" cm="1">
        <f t="array" ref="K105">IF($E105&lt;N$6,"",INDEX('4044 Yield Curves'!$C$7:$C$66,MIN(60,2*($E105-N$6+0.5)),0))</f>
        <v>5.7100000000000005E-2</v>
      </c>
      <c r="L105" s="10">
        <f t="shared" si="36"/>
        <v>-28.458333333333332</v>
      </c>
      <c r="M105" s="10">
        <f t="shared" si="40"/>
        <v>0.20591916134926197</v>
      </c>
      <c r="N105" s="11">
        <f t="shared" si="37"/>
        <v>1</v>
      </c>
      <c r="O105" s="355">
        <f t="shared" ref="O105:O127" si="44">O104+N104</f>
        <v>28</v>
      </c>
      <c r="P105" s="10">
        <f t="shared" si="41"/>
        <v>7.7024186804583811E-2</v>
      </c>
      <c r="Q105" s="256" cm="1">
        <f t="array" ref="Q105">IF($E105&lt;T$6,"",INDEX('4044 Yield Curves'!$C$7:$C$66,MIN(60,2*($E105-T$6+0.5)),0))</f>
        <v>5.7099999999999998E-2</v>
      </c>
      <c r="R105" s="10">
        <f t="shared" si="42"/>
        <v>-27.458333333333332</v>
      </c>
      <c r="S105" s="10">
        <f t="shared" si="43"/>
        <v>0.21767714546230479</v>
      </c>
      <c r="T105" s="11">
        <f t="shared" si="38"/>
        <v>1</v>
      </c>
      <c r="U105" s="355">
        <f t="shared" ref="U105:U127" si="45">U104+T104</f>
        <v>27</v>
      </c>
      <c r="W105"/>
      <c r="X105"/>
      <c r="Y105" s="13"/>
      <c r="AC105" s="13"/>
    </row>
    <row r="106" spans="2:29" ht="13" x14ac:dyDescent="0.3">
      <c r="B106" s="13"/>
      <c r="D106" s="322"/>
      <c r="E106" s="8">
        <f t="shared" si="27"/>
        <v>99</v>
      </c>
      <c r="F106" s="335">
        <f>'4050 Mortality'!C104</f>
        <v>0.27911999999999998</v>
      </c>
      <c r="G106" s="10">
        <f t="shared" si="28"/>
        <v>0.72087999999999997</v>
      </c>
      <c r="H106" s="259">
        <f t="shared" si="23"/>
        <v>0.87252170687686526</v>
      </c>
      <c r="I106" s="328"/>
      <c r="J106" s="10">
        <f t="shared" si="39"/>
        <v>5.6318976982653909E-2</v>
      </c>
      <c r="K106" s="256" cm="1">
        <f t="array" ref="K106">IF($E106&lt;N$6,"",INDEX('4044 Yield Curves'!$C$7:$C$66,MIN(60,2*($E106-N$6+0.5)),0))</f>
        <v>5.7300000000000004E-2</v>
      </c>
      <c r="L106" s="10">
        <f t="shared" si="36"/>
        <v>-29.458333333333332</v>
      </c>
      <c r="M106" s="10">
        <f t="shared" si="40"/>
        <v>0.19371373264590286</v>
      </c>
      <c r="N106" s="11">
        <f t="shared" si="37"/>
        <v>1</v>
      </c>
      <c r="O106" s="355">
        <f t="shared" si="44"/>
        <v>29</v>
      </c>
      <c r="P106" s="10">
        <f t="shared" si="41"/>
        <v>5.6960926625725813E-2</v>
      </c>
      <c r="Q106" s="256" cm="1">
        <f t="array" ref="Q106">IF($E106&lt;T$6,"",INDEX('4044 Yield Curves'!$C$7:$C$66,MIN(60,2*($E106-T$6+0.5)),0))</f>
        <v>5.7100000000000005E-2</v>
      </c>
      <c r="R106" s="10">
        <f t="shared" si="42"/>
        <v>-28.458333333333332</v>
      </c>
      <c r="S106" s="10">
        <f t="shared" si="43"/>
        <v>0.20591916134926197</v>
      </c>
      <c r="T106" s="11">
        <f t="shared" si="38"/>
        <v>1</v>
      </c>
      <c r="U106" s="355">
        <f t="shared" si="45"/>
        <v>28</v>
      </c>
      <c r="W106"/>
      <c r="X106"/>
      <c r="Y106" s="13"/>
      <c r="AC106" s="13"/>
    </row>
    <row r="107" spans="2:29" ht="13" x14ac:dyDescent="0.3">
      <c r="B107" s="13"/>
      <c r="D107" s="322"/>
      <c r="E107" s="8">
        <f t="shared" si="27"/>
        <v>100</v>
      </c>
      <c r="F107" s="335">
        <f>'4050 Mortality'!C105</f>
        <v>0.29814000000000002</v>
      </c>
      <c r="G107" s="10">
        <f t="shared" si="28"/>
        <v>0.70185999999999993</v>
      </c>
      <c r="H107" s="259">
        <f t="shared" si="23"/>
        <v>0.86285477144711087</v>
      </c>
      <c r="I107" s="328"/>
      <c r="J107" s="10">
        <f t="shared" si="39"/>
        <v>4.059922412725555E-2</v>
      </c>
      <c r="K107" s="256" cm="1">
        <f t="array" ref="K107">IF($E107&lt;N$6,"",INDEX('4044 Yield Curves'!$C$7:$C$66,MIN(60,2*($E107-N$6+0.5)),0))</f>
        <v>5.74E-2</v>
      </c>
      <c r="L107" s="10">
        <f t="shared" si="36"/>
        <v>-30.458333333333332</v>
      </c>
      <c r="M107" s="10">
        <f t="shared" si="40"/>
        <v>0.18268846888429191</v>
      </c>
      <c r="N107" s="11">
        <f t="shared" si="37"/>
        <v>1</v>
      </c>
      <c r="O107" s="355">
        <f t="shared" si="44"/>
        <v>30</v>
      </c>
      <c r="P107" s="10">
        <f t="shared" si="41"/>
        <v>4.1061992785953225E-2</v>
      </c>
      <c r="Q107" s="256" cm="1">
        <f t="array" ref="Q107">IF($E107&lt;T$6,"",INDEX('4044 Yield Curves'!$C$7:$C$66,MIN(60,2*($E107-T$6+0.5)),0))</f>
        <v>5.7300000000000004E-2</v>
      </c>
      <c r="R107" s="10">
        <f t="shared" si="42"/>
        <v>-29.458333333333332</v>
      </c>
      <c r="S107" s="10">
        <f t="shared" si="43"/>
        <v>0.19371373264590286</v>
      </c>
      <c r="T107" s="11">
        <f t="shared" si="38"/>
        <v>1</v>
      </c>
      <c r="U107" s="355">
        <f t="shared" si="45"/>
        <v>29</v>
      </c>
      <c r="W107"/>
      <c r="X107"/>
      <c r="Y107" s="13"/>
      <c r="AC107" s="13"/>
    </row>
    <row r="108" spans="2:29" ht="13" x14ac:dyDescent="0.3">
      <c r="B108" s="13"/>
      <c r="D108" s="322"/>
      <c r="E108" s="8">
        <f t="shared" si="27"/>
        <v>101</v>
      </c>
      <c r="F108" s="335">
        <f>'4050 Mortality'!C106</f>
        <v>0.31746000000000002</v>
      </c>
      <c r="G108" s="10">
        <f t="shared" si="28"/>
        <v>0.68253999999999992</v>
      </c>
      <c r="H108" s="259">
        <f t="shared" si="23"/>
        <v>0.85287760683416081</v>
      </c>
      <c r="I108" s="328"/>
      <c r="J108" s="10">
        <f t="shared" si="39"/>
        <v>2.8494971445955575E-2</v>
      </c>
      <c r="K108" s="256" cm="1">
        <f t="array" ref="K108">IF($E108&lt;N$6,"",INDEX('4044 Yield Curves'!$C$7:$C$66,MIN(60,2*($E108-N$6+0.5)),0))</f>
        <v>5.74E-2</v>
      </c>
      <c r="L108" s="10">
        <f t="shared" si="36"/>
        <v>-31.458333333333332</v>
      </c>
      <c r="M108" s="10">
        <f t="shared" si="40"/>
        <v>0.17277139103867212</v>
      </c>
      <c r="N108" s="11">
        <f t="shared" si="37"/>
        <v>1</v>
      </c>
      <c r="O108" s="355">
        <f t="shared" si="44"/>
        <v>31</v>
      </c>
      <c r="P108" s="10">
        <f t="shared" si="41"/>
        <v>2.8819770256749127E-2</v>
      </c>
      <c r="Q108" s="256" cm="1">
        <f t="array" ref="Q108">IF($E108&lt;T$6,"",INDEX('4044 Yield Curves'!$C$7:$C$66,MIN(60,2*($E108-T$6+0.5)),0))</f>
        <v>5.74E-2</v>
      </c>
      <c r="R108" s="10">
        <f t="shared" si="42"/>
        <v>-30.458333333333332</v>
      </c>
      <c r="S108" s="10">
        <f t="shared" si="43"/>
        <v>0.18268846888429191</v>
      </c>
      <c r="T108" s="11">
        <f t="shared" si="38"/>
        <v>1</v>
      </c>
      <c r="U108" s="355">
        <f t="shared" si="45"/>
        <v>30</v>
      </c>
      <c r="W108"/>
      <c r="X108"/>
      <c r="Y108" s="13"/>
      <c r="AC108" s="13"/>
    </row>
    <row r="109" spans="2:29" ht="13" x14ac:dyDescent="0.3">
      <c r="B109" s="13"/>
      <c r="D109" s="322"/>
      <c r="E109" s="8">
        <f t="shared" si="27"/>
        <v>102</v>
      </c>
      <c r="F109" s="335">
        <f>'4050 Mortality'!C107</f>
        <v>0.33676</v>
      </c>
      <c r="G109" s="10">
        <f t="shared" si="28"/>
        <v>0.66324000000000005</v>
      </c>
      <c r="H109" s="259">
        <f t="shared" si="23"/>
        <v>0.84274489306781097</v>
      </c>
      <c r="I109" s="328"/>
      <c r="J109" s="10">
        <f t="shared" si="39"/>
        <v>1.9448957810722516E-2</v>
      </c>
      <c r="K109" s="256" cm="1">
        <f t="array" ref="K109">IF($E109&lt;N$6,"",INDEX('4044 Yield Curves'!$C$7:$C$66,MIN(60,2*($E109-N$6+0.5)),0))</f>
        <v>5.74E-2</v>
      </c>
      <c r="L109" s="10">
        <f t="shared" si="36"/>
        <v>-32.458333333333336</v>
      </c>
      <c r="M109" s="10">
        <f t="shared" si="40"/>
        <v>0.16339265276969178</v>
      </c>
      <c r="N109" s="11">
        <f t="shared" si="37"/>
        <v>1</v>
      </c>
      <c r="O109" s="355">
        <f t="shared" si="44"/>
        <v>32</v>
      </c>
      <c r="P109" s="10">
        <f t="shared" si="41"/>
        <v>1.9670645991041548E-2</v>
      </c>
      <c r="Q109" s="256" cm="1">
        <f t="array" ref="Q109">IF($E109&lt;T$6,"",INDEX('4044 Yield Curves'!$C$7:$C$66,MIN(60,2*($E109-T$6+0.5)),0))</f>
        <v>5.74E-2</v>
      </c>
      <c r="R109" s="10">
        <f t="shared" si="42"/>
        <v>-31.458333333333332</v>
      </c>
      <c r="S109" s="10">
        <f t="shared" si="43"/>
        <v>0.17277139103867212</v>
      </c>
      <c r="T109" s="11">
        <f t="shared" si="38"/>
        <v>1</v>
      </c>
      <c r="U109" s="355">
        <f t="shared" si="45"/>
        <v>31</v>
      </c>
      <c r="W109"/>
      <c r="X109"/>
      <c r="Y109" s="13"/>
      <c r="AC109" s="13"/>
    </row>
    <row r="110" spans="2:29" ht="13" x14ac:dyDescent="0.3">
      <c r="B110" s="13"/>
      <c r="D110" s="322"/>
      <c r="E110" s="8">
        <f t="shared" si="27"/>
        <v>103</v>
      </c>
      <c r="F110" s="335">
        <f>'4050 Mortality'!C108</f>
        <v>0.35594999999999999</v>
      </c>
      <c r="G110" s="10">
        <f t="shared" si="28"/>
        <v>0.64405000000000001</v>
      </c>
      <c r="H110" s="259">
        <f t="shared" si="23"/>
        <v>0.83249792602518247</v>
      </c>
      <c r="I110" s="328"/>
      <c r="J110" s="10">
        <f t="shared" si="39"/>
        <v>1.2899326778383603E-2</v>
      </c>
      <c r="K110" s="256" cm="1">
        <f t="array" ref="K110">IF($E110&lt;N$6,"",INDEX('4044 Yield Curves'!$C$7:$C$66,MIN(60,2*($E110-N$6+0.5)),0))</f>
        <v>5.74E-2</v>
      </c>
      <c r="L110" s="10">
        <f t="shared" si="36"/>
        <v>-33.458333333333336</v>
      </c>
      <c r="M110" s="10">
        <f t="shared" si="40"/>
        <v>0.15452303080167562</v>
      </c>
      <c r="N110" s="11">
        <f t="shared" si="37"/>
        <v>1</v>
      </c>
      <c r="O110" s="355">
        <f t="shared" si="44"/>
        <v>33</v>
      </c>
      <c r="P110" s="10">
        <f t="shared" si="41"/>
        <v>1.3046359247098398E-2</v>
      </c>
      <c r="Q110" s="256" cm="1">
        <f t="array" ref="Q110">IF($E110&lt;T$6,"",INDEX('4044 Yield Curves'!$C$7:$C$66,MIN(60,2*($E110-T$6+0.5)),0))</f>
        <v>5.74E-2</v>
      </c>
      <c r="R110" s="10">
        <f t="shared" si="42"/>
        <v>-32.458333333333336</v>
      </c>
      <c r="S110" s="10">
        <f t="shared" si="43"/>
        <v>0.16339265276969178</v>
      </c>
      <c r="T110" s="11">
        <f t="shared" si="38"/>
        <v>1</v>
      </c>
      <c r="U110" s="355">
        <f t="shared" si="45"/>
        <v>32</v>
      </c>
      <c r="W110"/>
      <c r="X110"/>
      <c r="Y110" s="13"/>
      <c r="AC110" s="13"/>
    </row>
    <row r="111" spans="2:29" ht="13" x14ac:dyDescent="0.3">
      <c r="B111" s="13"/>
      <c r="D111" s="322"/>
      <c r="E111" s="8">
        <f t="shared" si="27"/>
        <v>104</v>
      </c>
      <c r="F111" s="335">
        <f>'4050 Mortality'!C109</f>
        <v>0.37502000000000002</v>
      </c>
      <c r="G111" s="10">
        <f t="shared" si="28"/>
        <v>0.62497999999999998</v>
      </c>
      <c r="H111" s="259">
        <f t="shared" si="23"/>
        <v>0.8221370428176431</v>
      </c>
      <c r="I111" s="328"/>
      <c r="J111" s="10">
        <f t="shared" si="39"/>
        <v>8.3078114116179602E-3</v>
      </c>
      <c r="K111" s="256" cm="1">
        <f t="array" ref="K111">IF($E111&lt;N$6,"",INDEX('4044 Yield Curves'!$C$7:$C$66,MIN(60,2*($E111-N$6+0.5)),0))</f>
        <v>5.74E-2</v>
      </c>
      <c r="L111" s="10">
        <f t="shared" si="36"/>
        <v>-34.458333333333336</v>
      </c>
      <c r="M111" s="10">
        <f t="shared" si="40"/>
        <v>0.14613488821796447</v>
      </c>
      <c r="N111" s="11">
        <f t="shared" si="37"/>
        <v>1</v>
      </c>
      <c r="O111" s="355">
        <f t="shared" si="44"/>
        <v>34</v>
      </c>
      <c r="P111" s="10">
        <f t="shared" si="41"/>
        <v>8.4025076730937232E-3</v>
      </c>
      <c r="Q111" s="256" cm="1">
        <f t="array" ref="Q111">IF($E111&lt;T$6,"",INDEX('4044 Yield Curves'!$C$7:$C$66,MIN(60,2*($E111-T$6+0.5)),0))</f>
        <v>5.74E-2</v>
      </c>
      <c r="R111" s="10">
        <f t="shared" si="42"/>
        <v>-33.458333333333336</v>
      </c>
      <c r="S111" s="10">
        <f t="shared" si="43"/>
        <v>0.15452303080167562</v>
      </c>
      <c r="T111" s="11">
        <f t="shared" si="38"/>
        <v>1</v>
      </c>
      <c r="U111" s="355">
        <f t="shared" si="45"/>
        <v>33</v>
      </c>
      <c r="W111"/>
      <c r="X111"/>
      <c r="Y111" s="13"/>
      <c r="AC111" s="13"/>
    </row>
    <row r="112" spans="2:29" ht="13" x14ac:dyDescent="0.3">
      <c r="B112" s="13"/>
      <c r="D112" s="322"/>
      <c r="E112" s="8">
        <f t="shared" si="27"/>
        <v>105</v>
      </c>
      <c r="F112" s="335">
        <f>'4050 Mortality'!C110</f>
        <v>0.39354</v>
      </c>
      <c r="G112" s="10">
        <f t="shared" si="28"/>
        <v>0.60646</v>
      </c>
      <c r="H112" s="259">
        <f t="shared" si="23"/>
        <v>0.81189693268660856</v>
      </c>
      <c r="I112" s="328"/>
      <c r="J112" s="10">
        <f t="shared" si="39"/>
        <v>5.1922159760329923E-3</v>
      </c>
      <c r="K112" s="256" cm="1">
        <f t="array" ref="K112">IF($E112&lt;N$6,"",INDEX('4044 Yield Curves'!$C$7:$C$66,MIN(60,2*($E112-N$6+0.5)),0))</f>
        <v>5.74E-2</v>
      </c>
      <c r="L112" s="10">
        <f t="shared" si="36"/>
        <v>-35.458333333333336</v>
      </c>
      <c r="M112" s="10">
        <f t="shared" si="40"/>
        <v>0.13820208834685502</v>
      </c>
      <c r="N112" s="11">
        <f t="shared" si="37"/>
        <v>1</v>
      </c>
      <c r="O112" s="355">
        <f t="shared" si="44"/>
        <v>35</v>
      </c>
      <c r="P112" s="10">
        <f t="shared" si="41"/>
        <v>5.2513992455301148E-3</v>
      </c>
      <c r="Q112" s="256" cm="1">
        <f t="array" ref="Q112">IF($E112&lt;T$6,"",INDEX('4044 Yield Curves'!$C$7:$C$66,MIN(60,2*($E112-T$6+0.5)),0))</f>
        <v>5.74E-2</v>
      </c>
      <c r="R112" s="10">
        <f t="shared" si="42"/>
        <v>-34.458333333333336</v>
      </c>
      <c r="S112" s="10">
        <f t="shared" si="43"/>
        <v>0.14613488821796447</v>
      </c>
      <c r="T112" s="11">
        <f t="shared" si="38"/>
        <v>1</v>
      </c>
      <c r="U112" s="355">
        <f t="shared" si="45"/>
        <v>34</v>
      </c>
      <c r="W112"/>
      <c r="X112"/>
      <c r="Y112" s="13"/>
      <c r="AC112" s="13"/>
    </row>
    <row r="113" spans="1:29" ht="13" x14ac:dyDescent="0.3">
      <c r="B113" s="13"/>
      <c r="D113" s="322"/>
      <c r="E113" s="8">
        <f t="shared" si="27"/>
        <v>106</v>
      </c>
      <c r="F113" s="335">
        <f>'4050 Mortality'!C111</f>
        <v>0.41166000000000003</v>
      </c>
      <c r="G113" s="10">
        <f t="shared" si="28"/>
        <v>0.58833999999999997</v>
      </c>
      <c r="H113" s="259">
        <f t="shared" si="23"/>
        <v>0.80169988887685972</v>
      </c>
      <c r="I113" s="328"/>
      <c r="J113" s="10">
        <f t="shared" si="39"/>
        <v>3.1488713008249684E-3</v>
      </c>
      <c r="K113" s="256" cm="1">
        <f t="array" ref="K113">IF($E113&lt;N$6,"",INDEX('4044 Yield Curves'!$C$7:$C$66,MIN(60,2*($E113-N$6+0.5)),0))</f>
        <v>5.74E-2</v>
      </c>
      <c r="L113" s="10">
        <f t="shared" si="36"/>
        <v>-36.458333333333336</v>
      </c>
      <c r="M113" s="10">
        <f t="shared" si="40"/>
        <v>0.13069991332216291</v>
      </c>
      <c r="N113" s="11">
        <f t="shared" si="37"/>
        <v>1</v>
      </c>
      <c r="O113" s="355">
        <f t="shared" si="44"/>
        <v>36</v>
      </c>
      <c r="P113" s="10">
        <f t="shared" si="41"/>
        <v>3.1847635864441933E-3</v>
      </c>
      <c r="Q113" s="256" cm="1">
        <f t="array" ref="Q113">IF($E113&lt;T$6,"",INDEX('4044 Yield Curves'!$C$7:$C$66,MIN(60,2*($E113-T$6+0.5)),0))</f>
        <v>5.74E-2</v>
      </c>
      <c r="R113" s="10">
        <f t="shared" si="42"/>
        <v>-35.458333333333336</v>
      </c>
      <c r="S113" s="10">
        <f t="shared" si="43"/>
        <v>0.13820208834685502</v>
      </c>
      <c r="T113" s="11">
        <f t="shared" si="38"/>
        <v>1</v>
      </c>
      <c r="U113" s="355">
        <f t="shared" si="45"/>
        <v>35</v>
      </c>
      <c r="W113"/>
      <c r="X113"/>
      <c r="Y113" s="13"/>
      <c r="AC113" s="13"/>
    </row>
    <row r="114" spans="1:29" ht="13" x14ac:dyDescent="0.3">
      <c r="B114" s="13"/>
      <c r="D114" s="322"/>
      <c r="E114" s="8">
        <f t="shared" si="27"/>
        <v>107</v>
      </c>
      <c r="F114" s="335">
        <f>'4050 Mortality'!C112</f>
        <v>0.42920999999999998</v>
      </c>
      <c r="G114" s="10">
        <f t="shared" si="28"/>
        <v>0.57079000000000002</v>
      </c>
      <c r="H114" s="259">
        <f t="shared" si="23"/>
        <v>0.79164744590344382</v>
      </c>
      <c r="I114" s="328"/>
      <c r="J114" s="10">
        <f t="shared" si="39"/>
        <v>1.8526069411273617E-3</v>
      </c>
      <c r="K114" s="256" cm="1">
        <f t="array" ref="K114">IF($E114&lt;N$6,"",INDEX('4044 Yield Curves'!$C$7:$C$66,MIN(60,2*($E114-N$6+0.5)),0))</f>
        <v>5.74E-2</v>
      </c>
      <c r="L114" s="10">
        <f t="shared" si="36"/>
        <v>-37.458333333333336</v>
      </c>
      <c r="M114" s="10">
        <f t="shared" si="40"/>
        <v>0.12360498706465189</v>
      </c>
      <c r="N114" s="11">
        <f t="shared" si="37"/>
        <v>1</v>
      </c>
      <c r="O114" s="355">
        <f t="shared" si="44"/>
        <v>37</v>
      </c>
      <c r="P114" s="10">
        <f t="shared" si="41"/>
        <v>1.8737238084485766E-3</v>
      </c>
      <c r="Q114" s="256" cm="1">
        <f t="array" ref="Q114">IF($E114&lt;T$6,"",INDEX('4044 Yield Curves'!$C$7:$C$66,MIN(60,2*($E114-T$6+0.5)),0))</f>
        <v>5.74E-2</v>
      </c>
      <c r="R114" s="10">
        <f t="shared" si="42"/>
        <v>-36.458333333333336</v>
      </c>
      <c r="S114" s="10">
        <f t="shared" si="43"/>
        <v>0.13069991332216291</v>
      </c>
      <c r="T114" s="11">
        <f t="shared" si="38"/>
        <v>1</v>
      </c>
      <c r="U114" s="355">
        <f t="shared" si="45"/>
        <v>36</v>
      </c>
      <c r="W114"/>
      <c r="X114"/>
      <c r="Y114" s="13"/>
      <c r="AC114" s="13"/>
    </row>
    <row r="115" spans="1:29" ht="13" x14ac:dyDescent="0.3">
      <c r="B115" s="13"/>
      <c r="D115" s="322"/>
      <c r="E115" s="8">
        <f t="shared" si="27"/>
        <v>108</v>
      </c>
      <c r="F115" s="335">
        <f>'4050 Mortality'!C113</f>
        <v>0.44595000000000001</v>
      </c>
      <c r="G115" s="10">
        <f t="shared" si="28"/>
        <v>0.55404999999999993</v>
      </c>
      <c r="H115" s="259">
        <f t="shared" si="23"/>
        <v>0.78188953357105251</v>
      </c>
      <c r="I115" s="328"/>
      <c r="J115" s="10">
        <f t="shared" si="39"/>
        <v>1.0574495159260868E-3</v>
      </c>
      <c r="K115" s="256" cm="1">
        <f t="array" ref="K115">IF($E115&lt;N$6,"",INDEX('4044 Yield Curves'!$C$7:$C$66,MIN(60,2*($E115-N$6+0.5)),0))</f>
        <v>5.74E-2</v>
      </c>
      <c r="L115" s="10">
        <f t="shared" si="36"/>
        <v>-38.458333333333336</v>
      </c>
      <c r="M115" s="10">
        <f t="shared" si="40"/>
        <v>0.11689520244434642</v>
      </c>
      <c r="N115" s="11">
        <f t="shared" si="37"/>
        <v>1</v>
      </c>
      <c r="O115" s="355">
        <f t="shared" si="44"/>
        <v>38</v>
      </c>
      <c r="P115" s="10">
        <f t="shared" si="41"/>
        <v>1.0695028126243632E-3</v>
      </c>
      <c r="Q115" s="256" cm="1">
        <f t="array" ref="Q115">IF($E115&lt;T$6,"",INDEX('4044 Yield Curves'!$C$7:$C$66,MIN(60,2*($E115-T$6+0.5)),0))</f>
        <v>5.74E-2</v>
      </c>
      <c r="R115" s="10">
        <f t="shared" si="42"/>
        <v>-37.458333333333336</v>
      </c>
      <c r="S115" s="10">
        <f t="shared" si="43"/>
        <v>0.12360498706465189</v>
      </c>
      <c r="T115" s="11">
        <f t="shared" si="38"/>
        <v>1</v>
      </c>
      <c r="U115" s="355">
        <f t="shared" si="45"/>
        <v>37</v>
      </c>
      <c r="W115"/>
      <c r="X115"/>
      <c r="Y115" s="13"/>
      <c r="AC115" s="13"/>
    </row>
    <row r="116" spans="1:29" ht="13" x14ac:dyDescent="0.3">
      <c r="B116" s="13"/>
      <c r="D116" s="322"/>
      <c r="E116" s="8">
        <f t="shared" si="27"/>
        <v>109</v>
      </c>
      <c r="F116" s="335">
        <f>'4050 Mortality'!C114</f>
        <v>0.46204000000000001</v>
      </c>
      <c r="G116" s="10">
        <f t="shared" si="28"/>
        <v>0.53795999999999999</v>
      </c>
      <c r="H116" s="259">
        <f t="shared" si="23"/>
        <v>0.77234705289364103</v>
      </c>
      <c r="I116" s="328"/>
      <c r="J116" s="10">
        <f t="shared" si="39"/>
        <v>5.8587990429884835E-4</v>
      </c>
      <c r="K116" s="256" cm="1">
        <f t="array" ref="K116">IF($E116&lt;N$6,"",INDEX('4044 Yield Curves'!$C$7:$C$66,MIN(60,2*($E116-N$6+0.5)),0))</f>
        <v>5.74E-2</v>
      </c>
      <c r="L116" s="10">
        <f t="shared" si="36"/>
        <v>-39.458333333333336</v>
      </c>
      <c r="M116" s="10">
        <f t="shared" si="40"/>
        <v>0.11054965239677172</v>
      </c>
      <c r="N116" s="11">
        <f t="shared" si="37"/>
        <v>1</v>
      </c>
      <c r="O116" s="355">
        <f t="shared" si="44"/>
        <v>39</v>
      </c>
      <c r="P116" s="10">
        <f t="shared" si="41"/>
        <v>5.9255803333452836E-4</v>
      </c>
      <c r="Q116" s="256" cm="1">
        <f t="array" ref="Q116">IF($E116&lt;T$6,"",INDEX('4044 Yield Curves'!$C$7:$C$66,MIN(60,2*($E116-T$6+0.5)),0))</f>
        <v>5.74E-2</v>
      </c>
      <c r="R116" s="10">
        <f t="shared" si="42"/>
        <v>-38.458333333333336</v>
      </c>
      <c r="S116" s="10">
        <f t="shared" si="43"/>
        <v>0.11689520244434642</v>
      </c>
      <c r="T116" s="11">
        <f t="shared" si="38"/>
        <v>1</v>
      </c>
      <c r="U116" s="355">
        <f t="shared" si="45"/>
        <v>38</v>
      </c>
      <c r="W116"/>
      <c r="X116"/>
      <c r="Y116" s="13"/>
      <c r="AC116" s="13"/>
    </row>
    <row r="117" spans="1:29" ht="13" x14ac:dyDescent="0.3">
      <c r="B117" s="13"/>
      <c r="D117" s="322"/>
      <c r="E117" s="8">
        <f t="shared" si="27"/>
        <v>110</v>
      </c>
      <c r="F117" s="335">
        <f>'4050 Mortality'!C115</f>
        <v>0.47508</v>
      </c>
      <c r="G117" s="10">
        <f t="shared" si="28"/>
        <v>0.52492000000000005</v>
      </c>
      <c r="H117" s="259">
        <f t="shared" si="23"/>
        <v>0.76449057113472751</v>
      </c>
      <c r="I117" s="328"/>
      <c r="J117" s="10">
        <f t="shared" si="39"/>
        <v>3.1517995331660845E-4</v>
      </c>
      <c r="K117" s="256" cm="1">
        <f t="array" ref="K117">IF($E117&lt;N$6,"",INDEX('4044 Yield Curves'!$C$7:$C$66,MIN(60,2*($E117-N$6+0.5)),0))</f>
        <v>5.74E-2</v>
      </c>
      <c r="L117" s="10">
        <f t="shared" si="36"/>
        <v>-40.458333333333336</v>
      </c>
      <c r="M117" s="10">
        <f t="shared" si="40"/>
        <v>0.10454856477848659</v>
      </c>
      <c r="N117" s="11">
        <f t="shared" si="37"/>
        <v>1</v>
      </c>
      <c r="O117" s="355">
        <f t="shared" si="44"/>
        <v>40</v>
      </c>
      <c r="P117" s="10">
        <f t="shared" si="41"/>
        <v>3.1877251961264289E-4</v>
      </c>
      <c r="Q117" s="256" cm="1">
        <f t="array" ref="Q117">IF($E117&lt;T$6,"",INDEX('4044 Yield Curves'!$C$7:$C$66,MIN(60,2*($E117-T$6+0.5)),0))</f>
        <v>5.74E-2</v>
      </c>
      <c r="R117" s="10">
        <f t="shared" si="42"/>
        <v>-39.458333333333336</v>
      </c>
      <c r="S117" s="10">
        <f t="shared" si="43"/>
        <v>0.11054965239677172</v>
      </c>
      <c r="T117" s="11">
        <f t="shared" si="38"/>
        <v>1</v>
      </c>
      <c r="U117" s="355">
        <f t="shared" si="45"/>
        <v>39</v>
      </c>
      <c r="W117"/>
      <c r="X117"/>
      <c r="Y117" s="13"/>
      <c r="AC117" s="13"/>
    </row>
    <row r="118" spans="1:29" ht="13" x14ac:dyDescent="0.3">
      <c r="B118" s="13"/>
      <c r="D118" s="322"/>
      <c r="E118" s="8">
        <f t="shared" si="27"/>
        <v>111</v>
      </c>
      <c r="F118" s="335">
        <f>'4050 Mortality'!C116</f>
        <v>0.48365999999999998</v>
      </c>
      <c r="G118" s="10">
        <f t="shared" si="28"/>
        <v>0.51634000000000002</v>
      </c>
      <c r="H118" s="259">
        <f t="shared" si="23"/>
        <v>0.75925892262371864</v>
      </c>
      <c r="I118" s="328"/>
      <c r="J118" s="10">
        <f t="shared" si="39"/>
        <v>1.6544426109495411E-4</v>
      </c>
      <c r="K118" s="256" cm="1">
        <f t="array" ref="K118">IF($E118&lt;N$6,"",INDEX('4044 Yield Curves'!$C$7:$C$66,MIN(60,2*($E118-N$6+0.5)),0))</f>
        <v>5.74E-2</v>
      </c>
      <c r="L118" s="10">
        <f t="shared" si="36"/>
        <v>-41.458333333333336</v>
      </c>
      <c r="M118" s="10">
        <f t="shared" si="40"/>
        <v>9.8873240758924383E-2</v>
      </c>
      <c r="N118" s="11">
        <f t="shared" si="37"/>
        <v>1</v>
      </c>
      <c r="O118" s="355">
        <f t="shared" si="44"/>
        <v>41</v>
      </c>
      <c r="P118" s="10">
        <f t="shared" si="41"/>
        <v>1.6733007099506853E-4</v>
      </c>
      <c r="Q118" s="256" cm="1">
        <f t="array" ref="Q118">IF($E118&lt;T$6,"",INDEX('4044 Yield Curves'!$C$7:$C$66,MIN(60,2*($E118-T$6+0.5)),0))</f>
        <v>5.74E-2</v>
      </c>
      <c r="R118" s="10">
        <f t="shared" si="42"/>
        <v>-40.458333333333336</v>
      </c>
      <c r="S118" s="10">
        <f t="shared" si="43"/>
        <v>0.10454856477848659</v>
      </c>
      <c r="T118" s="11">
        <f t="shared" si="38"/>
        <v>1</v>
      </c>
      <c r="U118" s="355">
        <f t="shared" si="45"/>
        <v>40</v>
      </c>
      <c r="W118"/>
      <c r="X118"/>
      <c r="Y118" s="13"/>
      <c r="AC118" s="13"/>
    </row>
    <row r="119" spans="1:29" ht="13" x14ac:dyDescent="0.3">
      <c r="B119" s="13"/>
      <c r="D119" s="322"/>
      <c r="E119" s="8">
        <f t="shared" si="27"/>
        <v>112</v>
      </c>
      <c r="F119" s="335">
        <f>'4050 Mortality'!C117</f>
        <v>0.49184</v>
      </c>
      <c r="G119" s="10">
        <f t="shared" si="28"/>
        <v>0.50815999999999995</v>
      </c>
      <c r="H119" s="259">
        <f t="shared" si="23"/>
        <v>0.75422374058331154</v>
      </c>
      <c r="I119" s="328"/>
      <c r="J119" s="10">
        <f t="shared" si="39"/>
        <v>8.5425489773768609E-5</v>
      </c>
      <c r="K119" s="256" cm="1">
        <f t="array" ref="K119">IF($E119&lt;N$6,"",INDEX('4044 Yield Curves'!$C$7:$C$66,MIN(60,2*($E119-N$6+0.5)),0))</f>
        <v>5.74E-2</v>
      </c>
      <c r="L119" s="10">
        <f t="shared" si="36"/>
        <v>-42.458333333333336</v>
      </c>
      <c r="M119" s="10">
        <f t="shared" si="40"/>
        <v>9.3505996556576876E-2</v>
      </c>
      <c r="N119" s="11">
        <f t="shared" si="37"/>
        <v>1</v>
      </c>
      <c r="O119" s="355">
        <f t="shared" si="44"/>
        <v>42</v>
      </c>
      <c r="P119" s="10">
        <f t="shared" si="41"/>
        <v>8.6399208857593693E-5</v>
      </c>
      <c r="Q119" s="256" cm="1">
        <f t="array" ref="Q119">IF($E119&lt;T$6,"",INDEX('4044 Yield Curves'!$C$7:$C$66,MIN(60,2*($E119-T$6+0.5)),0))</f>
        <v>5.74E-2</v>
      </c>
      <c r="R119" s="10">
        <f t="shared" si="42"/>
        <v>-41.458333333333336</v>
      </c>
      <c r="S119" s="10">
        <f t="shared" si="43"/>
        <v>9.8873240758924383E-2</v>
      </c>
      <c r="T119" s="11">
        <f t="shared" si="38"/>
        <v>1</v>
      </c>
      <c r="U119" s="355">
        <f t="shared" si="45"/>
        <v>41</v>
      </c>
      <c r="W119"/>
      <c r="X119"/>
      <c r="Y119" s="13"/>
      <c r="AC119" s="13"/>
    </row>
    <row r="120" spans="1:29" ht="13" x14ac:dyDescent="0.3">
      <c r="B120" s="13"/>
      <c r="D120" s="322"/>
      <c r="E120" s="8">
        <f t="shared" si="27"/>
        <v>113</v>
      </c>
      <c r="F120" s="335">
        <f>'4050 Mortality'!C118</f>
        <v>0.49602000000000002</v>
      </c>
      <c r="G120" s="10">
        <f t="shared" si="28"/>
        <v>0.50397999999999998</v>
      </c>
      <c r="H120" s="259">
        <f t="shared" si="23"/>
        <v>0.75163248649034686</v>
      </c>
      <c r="I120" s="328"/>
      <c r="J120" s="10">
        <f t="shared" si="39"/>
        <v>4.340981688343825E-5</v>
      </c>
      <c r="K120" s="256" cm="1">
        <f t="array" ref="K120">IF($E120&lt;N$6,"",INDEX('4044 Yield Curves'!$C$7:$C$66,MIN(60,2*($E120-N$6+0.5)),0))</f>
        <v>5.74E-2</v>
      </c>
      <c r="L120" s="10">
        <f t="shared" si="36"/>
        <v>-43.458333333333336</v>
      </c>
      <c r="M120" s="10">
        <f t="shared" si="40"/>
        <v>8.8430108337976973E-2</v>
      </c>
      <c r="N120" s="11">
        <f t="shared" si="37"/>
        <v>1</v>
      </c>
      <c r="O120" s="355">
        <f t="shared" si="44"/>
        <v>43</v>
      </c>
      <c r="P120" s="10">
        <f t="shared" si="41"/>
        <v>4.3904621973074808E-5</v>
      </c>
      <c r="Q120" s="256" cm="1">
        <f t="array" ref="Q120">IF($E120&lt;T$6,"",INDEX('4044 Yield Curves'!$C$7:$C$66,MIN(60,2*($E120-T$6+0.5)),0))</f>
        <v>5.74E-2</v>
      </c>
      <c r="R120" s="10">
        <f t="shared" si="42"/>
        <v>-42.458333333333336</v>
      </c>
      <c r="S120" s="10">
        <f t="shared" si="43"/>
        <v>9.3505996556576876E-2</v>
      </c>
      <c r="T120" s="11">
        <f t="shared" si="38"/>
        <v>1</v>
      </c>
      <c r="U120" s="355">
        <f t="shared" si="45"/>
        <v>42</v>
      </c>
      <c r="W120"/>
      <c r="X120"/>
      <c r="Y120" s="13"/>
      <c r="AC120" s="13"/>
    </row>
    <row r="121" spans="1:29" ht="13" x14ac:dyDescent="0.3">
      <c r="B121" s="13"/>
      <c r="D121" s="322"/>
      <c r="E121" s="8">
        <f t="shared" si="27"/>
        <v>114</v>
      </c>
      <c r="F121" s="335">
        <f>'4050 Mortality'!C119</f>
        <v>0.49751000000000001</v>
      </c>
      <c r="G121" s="10">
        <f t="shared" si="28"/>
        <v>0.50248999999999999</v>
      </c>
      <c r="H121" s="259">
        <f t="shared" si="23"/>
        <v>0.75070578004415744</v>
      </c>
      <c r="I121" s="328"/>
      <c r="J121" s="10">
        <f t="shared" si="39"/>
        <v>2.1877679512915209E-5</v>
      </c>
      <c r="K121" s="256" cm="1">
        <f t="array" ref="K121">IF($E121&lt;N$6,"",INDEX('4044 Yield Curves'!$C$7:$C$66,MIN(60,2*($E121-N$6+0.5)),0))</f>
        <v>5.74E-2</v>
      </c>
      <c r="L121" s="10">
        <f t="shared" si="36"/>
        <v>-44.458333333333336</v>
      </c>
      <c r="M121" s="10">
        <f t="shared" si="40"/>
        <v>8.3629760107789844E-2</v>
      </c>
      <c r="N121" s="11">
        <f t="shared" si="37"/>
        <v>1</v>
      </c>
      <c r="O121" s="355">
        <f t="shared" si="44"/>
        <v>44</v>
      </c>
      <c r="P121" s="10">
        <f t="shared" si="41"/>
        <v>2.2127051381990243E-5</v>
      </c>
      <c r="Q121" s="256" cm="1">
        <f t="array" ref="Q121">IF($E121&lt;T$6,"",INDEX('4044 Yield Curves'!$C$7:$C$66,MIN(60,2*($E121-T$6+0.5)),0))</f>
        <v>5.74E-2</v>
      </c>
      <c r="R121" s="10">
        <f t="shared" si="42"/>
        <v>-43.458333333333336</v>
      </c>
      <c r="S121" s="10">
        <f t="shared" si="43"/>
        <v>8.8430108337976973E-2</v>
      </c>
      <c r="T121" s="11">
        <f t="shared" si="38"/>
        <v>1</v>
      </c>
      <c r="U121" s="355">
        <f t="shared" si="45"/>
        <v>43</v>
      </c>
      <c r="W121"/>
      <c r="X121"/>
      <c r="Y121" s="13"/>
      <c r="AC121" s="13"/>
    </row>
    <row r="122" spans="1:29" ht="13" x14ac:dyDescent="0.3">
      <c r="B122" s="13"/>
      <c r="D122" s="322"/>
      <c r="E122" s="8">
        <f t="shared" si="27"/>
        <v>115</v>
      </c>
      <c r="F122" s="335">
        <f>'4050 Mortality'!C120</f>
        <v>0.49902999999999997</v>
      </c>
      <c r="G122" s="10">
        <f t="shared" si="28"/>
        <v>0.50097000000000003</v>
      </c>
      <c r="H122" s="259">
        <f t="shared" si="23"/>
        <v>0.74975876191633883</v>
      </c>
      <c r="I122" s="328"/>
      <c r="J122" s="10">
        <f t="shared" si="39"/>
        <v>1.0993315178444763E-5</v>
      </c>
      <c r="K122" s="256" cm="1">
        <f t="array" ref="K122">IF($E122&lt;N$6,"",INDEX('4044 Yield Curves'!$C$7:$C$66,MIN(60,2*($E122-N$6+0.5)),0))</f>
        <v>5.74E-2</v>
      </c>
      <c r="L122" s="10">
        <f t="shared" si="36"/>
        <v>-45.458333333333336</v>
      </c>
      <c r="M122" s="10">
        <f t="shared" si="40"/>
        <v>7.908999442764314E-2</v>
      </c>
      <c r="N122" s="11">
        <f t="shared" si="37"/>
        <v>1</v>
      </c>
      <c r="O122" s="355">
        <f t="shared" si="44"/>
        <v>45</v>
      </c>
      <c r="P122" s="10">
        <f t="shared" si="41"/>
        <v>1.1118622048936277E-5</v>
      </c>
      <c r="Q122" s="256" cm="1">
        <f t="array" ref="Q122">IF($E122&lt;T$6,"",INDEX('4044 Yield Curves'!$C$7:$C$66,MIN(60,2*($E122-T$6+0.5)),0))</f>
        <v>5.74E-2</v>
      </c>
      <c r="R122" s="10">
        <f t="shared" si="42"/>
        <v>-44.458333333333336</v>
      </c>
      <c r="S122" s="10">
        <f t="shared" si="43"/>
        <v>8.3629760107789844E-2</v>
      </c>
      <c r="T122" s="11">
        <f t="shared" si="38"/>
        <v>1</v>
      </c>
      <c r="U122" s="355">
        <f t="shared" si="45"/>
        <v>44</v>
      </c>
      <c r="W122"/>
      <c r="X122"/>
      <c r="Y122" s="13"/>
      <c r="AC122" s="13"/>
    </row>
    <row r="123" spans="1:29" ht="13" x14ac:dyDescent="0.3">
      <c r="B123" s="13"/>
      <c r="D123" s="322"/>
      <c r="E123" s="8">
        <f t="shared" si="27"/>
        <v>116</v>
      </c>
      <c r="F123" s="335">
        <f>'4050 Mortality'!C121</f>
        <v>0.49945000000000001</v>
      </c>
      <c r="G123" s="10">
        <f t="shared" si="28"/>
        <v>0.50055000000000005</v>
      </c>
      <c r="H123" s="259">
        <f t="shared" si="23"/>
        <v>0.74949679037871408</v>
      </c>
      <c r="I123" s="328"/>
      <c r="J123" s="10">
        <f t="shared" si="39"/>
        <v>5.5073211049454727E-6</v>
      </c>
      <c r="K123" s="256" cm="1">
        <f t="array" ref="K123">IF($E123&lt;N$6,"",INDEX('4044 Yield Curves'!$C$7:$C$66,MIN(60,2*($E123-N$6+0.5)),0))</f>
        <v>5.74E-2</v>
      </c>
      <c r="L123" s="10">
        <f t="shared" si="36"/>
        <v>-46.458333333333336</v>
      </c>
      <c r="M123" s="10">
        <f t="shared" si="40"/>
        <v>7.4796665810141078E-2</v>
      </c>
      <c r="N123" s="11">
        <f t="shared" si="37"/>
        <v>1</v>
      </c>
      <c r="O123" s="355">
        <f t="shared" si="44"/>
        <v>46</v>
      </c>
      <c r="P123" s="10">
        <f t="shared" si="41"/>
        <v>5.5700960878556068E-6</v>
      </c>
      <c r="Q123" s="256" cm="1">
        <f t="array" ref="Q123">IF($E123&lt;T$6,"",INDEX('4044 Yield Curves'!$C$7:$C$66,MIN(60,2*($E123-T$6+0.5)),0))</f>
        <v>5.74E-2</v>
      </c>
      <c r="R123" s="10">
        <f t="shared" si="42"/>
        <v>-45.458333333333336</v>
      </c>
      <c r="S123" s="10">
        <f t="shared" si="43"/>
        <v>7.908999442764314E-2</v>
      </c>
      <c r="T123" s="11">
        <f t="shared" si="38"/>
        <v>1</v>
      </c>
      <c r="U123" s="355">
        <f t="shared" si="45"/>
        <v>45</v>
      </c>
      <c r="W123"/>
      <c r="X123"/>
      <c r="Y123" s="13"/>
      <c r="AC123" s="13"/>
    </row>
    <row r="124" spans="1:29" ht="13" x14ac:dyDescent="0.3">
      <c r="B124" s="13"/>
      <c r="D124" s="322"/>
      <c r="E124" s="8">
        <f t="shared" si="27"/>
        <v>117</v>
      </c>
      <c r="F124" s="335">
        <f>'4050 Mortality'!C122</f>
        <v>0.49968000000000001</v>
      </c>
      <c r="G124" s="10">
        <f t="shared" si="28"/>
        <v>0.50031999999999999</v>
      </c>
      <c r="H124" s="259">
        <f t="shared" si="23"/>
        <v>0.7493532754366502</v>
      </c>
      <c r="I124" s="328"/>
      <c r="J124" s="10">
        <f t="shared" si="39"/>
        <v>2.7566895790804565E-6</v>
      </c>
      <c r="K124" s="256" cm="1">
        <f t="array" ref="K124">IF($E124&lt;N$6,"",INDEX('4044 Yield Curves'!$C$7:$C$66,MIN(60,2*($E124-N$6+0.5)),0))</f>
        <v>5.74E-2</v>
      </c>
      <c r="L124" s="10">
        <f t="shared" si="36"/>
        <v>-47.458333333333336</v>
      </c>
      <c r="M124" s="10">
        <f t="shared" si="40"/>
        <v>7.0736396642841953E-2</v>
      </c>
      <c r="N124" s="11">
        <f t="shared" si="37"/>
        <v>1</v>
      </c>
      <c r="O124" s="355">
        <f t="shared" si="44"/>
        <v>47</v>
      </c>
      <c r="P124" s="10">
        <f t="shared" si="41"/>
        <v>2.7881115967761242E-6</v>
      </c>
      <c r="Q124" s="256" cm="1">
        <f t="array" ref="Q124">IF($E124&lt;T$6,"",INDEX('4044 Yield Curves'!$C$7:$C$66,MIN(60,2*($E124-T$6+0.5)),0))</f>
        <v>5.74E-2</v>
      </c>
      <c r="R124" s="10">
        <f t="shared" si="42"/>
        <v>-46.458333333333336</v>
      </c>
      <c r="S124" s="10">
        <f t="shared" si="43"/>
        <v>7.4796665810141078E-2</v>
      </c>
      <c r="T124" s="11">
        <f t="shared" si="38"/>
        <v>1</v>
      </c>
      <c r="U124" s="355">
        <f t="shared" si="45"/>
        <v>46</v>
      </c>
      <c r="W124"/>
      <c r="X124"/>
      <c r="Y124" s="13"/>
      <c r="AC124" s="13"/>
    </row>
    <row r="125" spans="1:29" ht="13" x14ac:dyDescent="0.3">
      <c r="B125" s="13"/>
      <c r="D125" s="322"/>
      <c r="E125" s="8">
        <f t="shared" si="27"/>
        <v>118</v>
      </c>
      <c r="F125" s="335">
        <f>'4050 Mortality'!C123</f>
        <v>0.49990000000000001</v>
      </c>
      <c r="G125" s="10">
        <f t="shared" si="28"/>
        <v>0.50009999999999999</v>
      </c>
      <c r="H125" s="259">
        <f t="shared" si="23"/>
        <v>0.74921596425854298</v>
      </c>
      <c r="I125" s="328"/>
      <c r="J125" s="10">
        <f t="shared" si="39"/>
        <v>1.379226930205534E-6</v>
      </c>
      <c r="K125" s="256" cm="1">
        <f t="array" ref="K125">IF($E125&lt;N$6,"",INDEX('4044 Yield Curves'!$C$7:$C$66,MIN(60,2*($E125-N$6+0.5)),0))</f>
        <v>5.74E-2</v>
      </c>
      <c r="L125" s="10">
        <f t="shared" si="36"/>
        <v>-48.458333333333336</v>
      </c>
      <c r="M125" s="10">
        <f t="shared" si="40"/>
        <v>6.6896535504862825E-2</v>
      </c>
      <c r="N125" s="11">
        <f t="shared" si="37"/>
        <v>1</v>
      </c>
      <c r="O125" s="355">
        <f t="shared" si="44"/>
        <v>48</v>
      </c>
      <c r="P125" s="10">
        <f t="shared" si="41"/>
        <v>1.3949479940990304E-6</v>
      </c>
      <c r="Q125" s="256" cm="1">
        <f t="array" ref="Q125">IF($E125&lt;T$6,"",INDEX('4044 Yield Curves'!$C$7:$C$66,MIN(60,2*($E125-T$6+0.5)),0))</f>
        <v>5.74E-2</v>
      </c>
      <c r="R125" s="10">
        <f t="shared" si="42"/>
        <v>-47.458333333333336</v>
      </c>
      <c r="S125" s="10">
        <f t="shared" si="43"/>
        <v>7.0736396642841953E-2</v>
      </c>
      <c r="T125" s="11">
        <f t="shared" si="38"/>
        <v>1</v>
      </c>
      <c r="U125" s="355">
        <f t="shared" si="45"/>
        <v>47</v>
      </c>
      <c r="W125"/>
      <c r="X125"/>
      <c r="Y125" s="13"/>
      <c r="AC125" s="13"/>
    </row>
    <row r="126" spans="1:29" ht="13" x14ac:dyDescent="0.3">
      <c r="A126" s="14"/>
      <c r="B126" s="13"/>
      <c r="D126" s="322"/>
      <c r="E126" s="8">
        <f t="shared" si="27"/>
        <v>119</v>
      </c>
      <c r="F126" s="335">
        <f>'4050 Mortality'!C124</f>
        <v>0.5</v>
      </c>
      <c r="G126" s="10">
        <f t="shared" si="28"/>
        <v>0.5</v>
      </c>
      <c r="H126" s="259">
        <f t="shared" si="23"/>
        <v>0.74915353843834076</v>
      </c>
      <c r="I126" s="328"/>
      <c r="J126" s="10">
        <f t="shared" si="39"/>
        <v>6.8975138779578755E-7</v>
      </c>
      <c r="K126" s="256" cm="1">
        <f t="array" ref="K126">IF($E126&lt;N$6,"",INDEX('4044 Yield Curves'!$C$7:$C$66,MIN(60,2*($E126-N$6+0.5)),0))</f>
        <v>5.74E-2</v>
      </c>
      <c r="L126" s="10">
        <f t="shared" si="36"/>
        <v>-49.458333333333336</v>
      </c>
      <c r="M126" s="10">
        <f t="shared" si="40"/>
        <v>6.3265117746229269E-2</v>
      </c>
      <c r="N126" s="11">
        <f t="shared" si="37"/>
        <v>1</v>
      </c>
      <c r="O126" s="355">
        <f t="shared" si="44"/>
        <v>49</v>
      </c>
      <c r="P126" s="10">
        <f t="shared" si="41"/>
        <v>6.9761349184892514E-7</v>
      </c>
      <c r="Q126" s="256" cm="1">
        <f t="array" ref="Q126">IF($E126&lt;T$6,"",INDEX('4044 Yield Curves'!$C$7:$C$66,MIN(60,2*($E126-T$6+0.5)),0))</f>
        <v>5.74E-2</v>
      </c>
      <c r="R126" s="10">
        <f t="shared" si="42"/>
        <v>-48.458333333333336</v>
      </c>
      <c r="S126" s="10">
        <f t="shared" si="43"/>
        <v>6.6896535504862825E-2</v>
      </c>
      <c r="T126" s="11">
        <f t="shared" si="38"/>
        <v>1</v>
      </c>
      <c r="U126" s="355">
        <f t="shared" si="45"/>
        <v>48</v>
      </c>
      <c r="W126"/>
      <c r="X126"/>
      <c r="Y126" s="13"/>
      <c r="AC126" s="13"/>
    </row>
    <row r="127" spans="1:29" ht="13.5" thickBot="1" x14ac:dyDescent="0.35">
      <c r="B127" s="13"/>
      <c r="D127" s="323"/>
      <c r="E127" s="8">
        <f t="shared" si="27"/>
        <v>120</v>
      </c>
      <c r="F127" s="335">
        <f>'4050 Mortality'!C125</f>
        <v>1</v>
      </c>
      <c r="G127" s="10">
        <f t="shared" si="28"/>
        <v>0</v>
      </c>
      <c r="H127" s="259">
        <f t="shared" si="23"/>
        <v>0</v>
      </c>
      <c r="I127" s="329"/>
      <c r="J127" s="10">
        <f t="shared" si="39"/>
        <v>3.4487569389789378E-7</v>
      </c>
      <c r="K127" s="256" cm="1">
        <f t="array" ref="K127">IF($E127&lt;N$6,"",INDEX('4044 Yield Curves'!$C$7:$C$66,MIN(60,2*($E127-N$6+0.5)),0))</f>
        <v>5.74E-2</v>
      </c>
      <c r="L127" s="10">
        <f t="shared" si="36"/>
        <v>-50.458333333333336</v>
      </c>
      <c r="M127" s="10">
        <f t="shared" si="40"/>
        <v>5.9830828207139454E-2</v>
      </c>
      <c r="N127" s="11">
        <f t="shared" si="37"/>
        <v>1</v>
      </c>
      <c r="O127" s="356">
        <f t="shared" si="44"/>
        <v>50</v>
      </c>
      <c r="P127" s="10">
        <f t="shared" si="41"/>
        <v>3.4880674592446257E-7</v>
      </c>
      <c r="Q127" s="256" cm="1">
        <f t="array" ref="Q127">IF($E127&lt;T$6,"",INDEX('4044 Yield Curves'!$C$7:$C$66,MIN(60,2*($E127-T$6+0.5)),0))</f>
        <v>5.74E-2</v>
      </c>
      <c r="R127" s="10">
        <f t="shared" si="42"/>
        <v>-49.458333333333336</v>
      </c>
      <c r="S127" s="10">
        <f t="shared" si="43"/>
        <v>6.3265117746229269E-2</v>
      </c>
      <c r="T127" s="11">
        <f t="shared" si="38"/>
        <v>1</v>
      </c>
      <c r="U127" s="356">
        <f t="shared" si="45"/>
        <v>49</v>
      </c>
      <c r="W127"/>
      <c r="X127"/>
      <c r="Y127" s="13"/>
      <c r="AC127" s="13"/>
    </row>
    <row r="128" spans="1:29" x14ac:dyDescent="0.25">
      <c r="D128" s="10"/>
      <c r="E128" s="8"/>
      <c r="F128" s="9"/>
      <c r="G128" s="10"/>
      <c r="H128" s="10"/>
      <c r="I128" s="316"/>
      <c r="J128" s="10"/>
      <c r="K128" s="10"/>
      <c r="L128" s="10"/>
      <c r="M128" s="10"/>
      <c r="N128" s="10"/>
      <c r="O128" s="316"/>
      <c r="P128" s="10"/>
      <c r="Q128" s="10"/>
      <c r="R128" s="10"/>
      <c r="S128" s="10"/>
      <c r="T128" s="10"/>
      <c r="U128" s="316"/>
      <c r="W128" s="296"/>
      <c r="AC128" s="13"/>
    </row>
    <row r="129" spans="1:21" x14ac:dyDescent="0.25">
      <c r="E129" s="8"/>
      <c r="F129" s="9"/>
      <c r="I129" s="317"/>
      <c r="O129" s="317"/>
      <c r="U129" s="317"/>
    </row>
    <row r="130" spans="1:21" x14ac:dyDescent="0.25">
      <c r="A130" s="15"/>
      <c r="B130" s="15"/>
      <c r="D130" s="10"/>
      <c r="E130" s="8"/>
      <c r="F130" s="9"/>
      <c r="I130" s="316"/>
      <c r="M130" s="10"/>
      <c r="N130" s="10"/>
      <c r="O130" s="316"/>
      <c r="S130" s="10"/>
      <c r="T130" s="10"/>
      <c r="U130" s="316"/>
    </row>
    <row r="131" spans="1:21" x14ac:dyDescent="0.25">
      <c r="A131" s="15"/>
      <c r="B131" s="15"/>
      <c r="D131" s="10"/>
      <c r="E131" s="8"/>
      <c r="F131" s="9"/>
      <c r="I131" s="316"/>
      <c r="M131" s="10"/>
      <c r="N131" s="10"/>
      <c r="O131" s="316"/>
      <c r="S131" s="10"/>
      <c r="T131" s="10"/>
      <c r="U131" s="316"/>
    </row>
    <row r="132" spans="1:21" x14ac:dyDescent="0.25">
      <c r="I132" s="317"/>
      <c r="J132" s="89"/>
      <c r="K132" s="89"/>
      <c r="L132" s="89"/>
      <c r="O132" s="317"/>
      <c r="P132" s="89"/>
      <c r="Q132" s="89"/>
      <c r="R132" s="89"/>
      <c r="U132" s="317"/>
    </row>
    <row r="133" spans="1:21" x14ac:dyDescent="0.25">
      <c r="I133" s="317"/>
      <c r="J133" s="89"/>
      <c r="K133" s="89"/>
      <c r="L133" s="89"/>
      <c r="O133" s="317"/>
      <c r="P133" s="89"/>
      <c r="Q133" s="89"/>
      <c r="R133" s="89"/>
      <c r="U133" s="317"/>
    </row>
  </sheetData>
  <sheetProtection selectLockedCells="1"/>
  <mergeCells count="5">
    <mergeCell ref="F3:F6"/>
    <mergeCell ref="R4:R6"/>
    <mergeCell ref="L4:L6"/>
    <mergeCell ref="K4:K6"/>
    <mergeCell ref="Q4:Q6"/>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7">
    <tabColor theme="8" tint="0.39997558519241921"/>
  </sheetPr>
  <dimension ref="A1:T23"/>
  <sheetViews>
    <sheetView zoomScale="120" zoomScaleNormal="120" workbookViewId="0"/>
  </sheetViews>
  <sheetFormatPr defaultRowHeight="12.5" x14ac:dyDescent="0.25"/>
  <cols>
    <col min="2" max="2" width="61.26953125" bestFit="1" customWidth="1"/>
    <col min="3" max="3" width="11.81640625" customWidth="1"/>
    <col min="5" max="6" width="10.54296875" bestFit="1" customWidth="1"/>
  </cols>
  <sheetData>
    <row r="1" spans="1:6" x14ac:dyDescent="0.25">
      <c r="A1" t="s">
        <v>113</v>
      </c>
    </row>
    <row r="3" spans="1:6" x14ac:dyDescent="0.25">
      <c r="A3" s="52" t="s">
        <v>114</v>
      </c>
      <c r="B3" s="53"/>
      <c r="C3" s="54"/>
      <c r="D3" s="55"/>
    </row>
    <row r="4" spans="1:6" x14ac:dyDescent="0.25">
      <c r="A4" s="56" t="s">
        <v>62</v>
      </c>
      <c r="B4" s="57" t="s">
        <v>115</v>
      </c>
      <c r="C4" s="58"/>
      <c r="D4" s="68">
        <f>ROUND(DATEDIF('Before NRA'!E7,'Before NRA'!E4,"m")/12,4)</f>
        <v>50.083300000000001</v>
      </c>
    </row>
    <row r="5" spans="1:6" x14ac:dyDescent="0.25">
      <c r="A5" s="56" t="s">
        <v>62</v>
      </c>
      <c r="B5" s="58" t="s">
        <v>116</v>
      </c>
      <c r="C5" s="58"/>
      <c r="D5" s="68">
        <f>ROUND(MAX(55,'Before NRA'!E14,D4),4)</f>
        <v>60</v>
      </c>
      <c r="E5" s="18" t="s">
        <v>117</v>
      </c>
    </row>
    <row r="6" spans="1:6" x14ac:dyDescent="0.25">
      <c r="A6" s="56"/>
      <c r="B6" s="58" t="s">
        <v>118</v>
      </c>
      <c r="C6" s="58"/>
      <c r="D6" s="68">
        <f>ROUND(MAX(55,'Before NRA'!E11,D4,D5),0)</f>
        <v>65</v>
      </c>
      <c r="E6" s="18" t="s">
        <v>117</v>
      </c>
    </row>
    <row r="7" spans="1:6" x14ac:dyDescent="0.25">
      <c r="A7" s="56"/>
      <c r="B7" s="58" t="s">
        <v>119</v>
      </c>
      <c r="C7" s="58"/>
      <c r="D7" s="68">
        <f ca="1">ROUND(XRA_Table2C!C10,0)</f>
        <v>62</v>
      </c>
    </row>
    <row r="9" spans="1:6" ht="13" x14ac:dyDescent="0.3">
      <c r="B9" s="59" t="s">
        <v>120</v>
      </c>
    </row>
    <row r="10" spans="1:6" ht="13" x14ac:dyDescent="0.3">
      <c r="B10" s="69">
        <f ca="1">AnnuFact_Before_NRD!C13</f>
        <v>6.5213549213520192</v>
      </c>
      <c r="E10" s="271"/>
      <c r="F10" s="271"/>
    </row>
    <row r="15" spans="1:6" x14ac:dyDescent="0.25">
      <c r="A15" s="18" t="s">
        <v>121</v>
      </c>
    </row>
    <row r="17" spans="1:20" x14ac:dyDescent="0.25">
      <c r="A17" s="18" t="s">
        <v>122</v>
      </c>
      <c r="B17" s="24"/>
      <c r="C17" s="25"/>
      <c r="D17" s="26"/>
      <c r="E17" s="26"/>
    </row>
    <row r="18" spans="1:20" x14ac:dyDescent="0.25">
      <c r="A18" s="22" t="s">
        <v>62</v>
      </c>
      <c r="B18" s="23" t="s">
        <v>115</v>
      </c>
      <c r="C18" s="2"/>
      <c r="D18" s="70">
        <f>ROUND(DATEDIF('On or After NRA'!E7,'On or After NRA'!E4,"m")/12,4)</f>
        <v>70.583299999999994</v>
      </c>
      <c r="E18" s="26"/>
    </row>
    <row r="19" spans="1:20" x14ac:dyDescent="0.25">
      <c r="A19" s="22"/>
      <c r="B19" s="23" t="s">
        <v>123</v>
      </c>
      <c r="C19" s="2"/>
      <c r="D19" s="70">
        <f>AnnuFact_After_NRD!B9</f>
        <v>10.770332737833177</v>
      </c>
      <c r="E19" s="67"/>
    </row>
    <row r="23" spans="1:20" ht="14" x14ac:dyDescent="0.25">
      <c r="D23" s="393"/>
      <c r="E23" s="394"/>
      <c r="F23" s="394"/>
      <c r="G23" s="394"/>
      <c r="H23" s="394"/>
      <c r="I23" s="394"/>
      <c r="J23" s="394"/>
      <c r="K23" s="394"/>
      <c r="L23" s="394"/>
      <c r="M23" s="394"/>
      <c r="N23" s="394"/>
      <c r="O23" s="394"/>
      <c r="P23" s="394"/>
      <c r="Q23" s="394"/>
      <c r="R23" s="394"/>
      <c r="S23" s="394"/>
      <c r="T23" s="394"/>
    </row>
  </sheetData>
  <sheetProtection selectLockedCells="1" selectUnlockedCells="1"/>
  <mergeCells count="1">
    <mergeCell ref="D23:T2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tabColor theme="5" tint="-0.249977111117893"/>
    <pageSetUpPr fitToPage="1"/>
  </sheetPr>
  <dimension ref="A1:AA39"/>
  <sheetViews>
    <sheetView zoomScale="120" zoomScaleNormal="120" zoomScaleSheetLayoutView="90" workbookViewId="0"/>
  </sheetViews>
  <sheetFormatPr defaultColWidth="9.26953125" defaultRowHeight="12.5" x14ac:dyDescent="0.25"/>
  <cols>
    <col min="1" max="1" width="50.26953125" style="41" customWidth="1"/>
    <col min="2" max="2" width="11.453125" style="41" customWidth="1"/>
    <col min="3" max="3" width="13.1796875" style="41" customWidth="1"/>
    <col min="4" max="27" width="4.7265625" style="41" customWidth="1"/>
    <col min="28" max="16384" width="9.26953125" style="41"/>
  </cols>
  <sheetData>
    <row r="1" spans="1:27" ht="15.5" x14ac:dyDescent="0.35">
      <c r="A1" s="43" t="s">
        <v>124</v>
      </c>
    </row>
    <row r="2" spans="1:27" customFormat="1" x14ac:dyDescent="0.25">
      <c r="A2" s="71" t="s">
        <v>125</v>
      </c>
      <c r="B2" s="72" t="s">
        <v>126</v>
      </c>
      <c r="C2" s="72"/>
      <c r="D2" s="75"/>
      <c r="E2" s="75"/>
      <c r="F2" s="72"/>
      <c r="G2" s="72"/>
      <c r="H2" s="72"/>
      <c r="I2" s="72"/>
      <c r="J2" s="72"/>
    </row>
    <row r="3" spans="1:27" customFormat="1" x14ac:dyDescent="0.25">
      <c r="B3" s="28"/>
      <c r="C3" s="29" t="s">
        <v>118</v>
      </c>
      <c r="D3" s="1"/>
    </row>
    <row r="4" spans="1:27" customFormat="1" ht="13" x14ac:dyDescent="0.3">
      <c r="A4" s="190" t="s">
        <v>116</v>
      </c>
      <c r="B4" s="30" t="s">
        <v>127</v>
      </c>
      <c r="C4" s="39">
        <f>'Annuity Factor Calcs'!D6</f>
        <v>65</v>
      </c>
    </row>
    <row r="5" spans="1:27" customFormat="1" ht="13" x14ac:dyDescent="0.3">
      <c r="A5" s="37">
        <f>MAX(55,'Before NRA'!E8,'Before NRA'!E12)</f>
        <v>60</v>
      </c>
      <c r="B5" s="73">
        <f>ROUND(C4,0)</f>
        <v>65</v>
      </c>
      <c r="C5" s="73">
        <f>B5</f>
        <v>65</v>
      </c>
    </row>
    <row r="6" spans="1:27" customFormat="1" x14ac:dyDescent="0.25">
      <c r="A6" s="74">
        <f>ROUND(A5,0)</f>
        <v>60</v>
      </c>
      <c r="B6" s="40">
        <f ca="1">OFFSET($A$13,$A6-54,B$5-54)</f>
        <v>62</v>
      </c>
      <c r="C6" s="40">
        <f ca="1">OFFSET($A$13,$A6-54,C$5-54)</f>
        <v>62</v>
      </c>
    </row>
    <row r="7" spans="1:27" customFormat="1" x14ac:dyDescent="0.25">
      <c r="A7" s="74">
        <f>A6</f>
        <v>60</v>
      </c>
      <c r="B7" s="40">
        <f ca="1">OFFSET($A$13,$A7-54,B$5-54)</f>
        <v>62</v>
      </c>
      <c r="C7" s="40">
        <f ca="1">OFFSET($A$13,$A7-54,C$5-54)</f>
        <v>62</v>
      </c>
    </row>
    <row r="8" spans="1:27" customFormat="1" x14ac:dyDescent="0.25">
      <c r="A8" s="38">
        <f>MOD(A5,1)</f>
        <v>0</v>
      </c>
      <c r="B8" s="20">
        <f ca="1">B6+((B7-B6)*A8)</f>
        <v>62</v>
      </c>
      <c r="C8" s="20">
        <f ca="1">C6+((C7-C6)*A8)</f>
        <v>62</v>
      </c>
    </row>
    <row r="9" spans="1:27" customFormat="1" x14ac:dyDescent="0.25">
      <c r="B9" s="20"/>
      <c r="C9" s="35">
        <f>MOD(C4,1)</f>
        <v>0</v>
      </c>
    </row>
    <row r="10" spans="1:27" customFormat="1" ht="13" x14ac:dyDescent="0.3">
      <c r="B10" s="36" t="s">
        <v>128</v>
      </c>
      <c r="C10" s="76">
        <f ca="1">ROUND(B8+(C8-B8)*C9,0)</f>
        <v>62</v>
      </c>
    </row>
    <row r="11" spans="1:27" x14ac:dyDescent="0.25">
      <c r="A11" s="41" t="s">
        <v>129</v>
      </c>
      <c r="B11" s="60" t="s">
        <v>130</v>
      </c>
      <c r="I11" s="60" t="s">
        <v>131</v>
      </c>
    </row>
    <row r="12" spans="1:27" ht="12.75" customHeight="1" x14ac:dyDescent="0.25">
      <c r="A12" s="42"/>
      <c r="B12" s="395" t="s">
        <v>132</v>
      </c>
      <c r="C12" s="396"/>
      <c r="D12" s="396"/>
      <c r="E12" s="396"/>
      <c r="F12" s="396"/>
      <c r="G12" s="396"/>
      <c r="H12" s="396"/>
      <c r="I12" s="396"/>
      <c r="J12" s="396"/>
      <c r="K12" s="396"/>
      <c r="L12" s="396"/>
      <c r="M12" s="396"/>
      <c r="N12" s="396"/>
      <c r="O12" s="396"/>
      <c r="P12" s="396"/>
      <c r="Q12" s="396"/>
      <c r="R12" s="396"/>
      <c r="S12" s="396"/>
      <c r="T12" s="396"/>
      <c r="U12" s="396"/>
      <c r="V12" s="396"/>
      <c r="W12" s="396"/>
      <c r="X12" s="396"/>
      <c r="Y12" s="396"/>
      <c r="Z12" s="396"/>
      <c r="AA12" s="397"/>
    </row>
    <row r="13" spans="1:27" ht="13" x14ac:dyDescent="0.25">
      <c r="A13" s="44" t="s">
        <v>133</v>
      </c>
      <c r="B13" s="46">
        <v>55</v>
      </c>
      <c r="C13" s="46">
        <v>56</v>
      </c>
      <c r="D13" s="46">
        <v>57</v>
      </c>
      <c r="E13" s="46">
        <v>58</v>
      </c>
      <c r="F13" s="46">
        <v>59</v>
      </c>
      <c r="G13" s="46">
        <v>60</v>
      </c>
      <c r="H13" s="46">
        <v>61</v>
      </c>
      <c r="I13" s="46">
        <v>62</v>
      </c>
      <c r="J13" s="46">
        <v>63</v>
      </c>
      <c r="K13" s="46">
        <v>64</v>
      </c>
      <c r="L13" s="46">
        <v>65</v>
      </c>
      <c r="M13" s="46">
        <v>66</v>
      </c>
      <c r="N13" s="46">
        <v>67</v>
      </c>
      <c r="O13" s="46">
        <v>68</v>
      </c>
      <c r="P13" s="46">
        <v>69</v>
      </c>
      <c r="Q13" s="46">
        <v>70</v>
      </c>
      <c r="R13" s="46">
        <v>71</v>
      </c>
      <c r="S13" s="46">
        <v>72</v>
      </c>
      <c r="T13" s="46">
        <v>73</v>
      </c>
      <c r="U13" s="46">
        <v>74</v>
      </c>
      <c r="V13" s="46">
        <v>75</v>
      </c>
      <c r="W13" s="46">
        <v>76</v>
      </c>
      <c r="X13" s="46">
        <v>77</v>
      </c>
      <c r="Y13" s="46">
        <v>78</v>
      </c>
      <c r="Z13" s="46">
        <v>79</v>
      </c>
      <c r="AA13" s="46">
        <v>80</v>
      </c>
    </row>
    <row r="14" spans="1:27" ht="13" x14ac:dyDescent="0.3">
      <c r="A14" s="45">
        <v>55</v>
      </c>
      <c r="B14" s="42">
        <v>55</v>
      </c>
      <c r="C14" s="42">
        <v>55</v>
      </c>
      <c r="D14" s="42">
        <v>56</v>
      </c>
      <c r="E14" s="42">
        <v>56</v>
      </c>
      <c r="F14" s="42">
        <v>57</v>
      </c>
      <c r="G14" s="42">
        <v>57</v>
      </c>
      <c r="H14" s="42">
        <v>58</v>
      </c>
      <c r="I14" s="42">
        <v>58</v>
      </c>
      <c r="J14" s="42">
        <v>58</v>
      </c>
      <c r="K14" s="42">
        <v>58</v>
      </c>
      <c r="L14" s="42">
        <v>58</v>
      </c>
      <c r="M14" s="42">
        <v>58</v>
      </c>
      <c r="N14" s="42">
        <v>58</v>
      </c>
      <c r="O14" s="42">
        <v>58</v>
      </c>
      <c r="P14" s="42">
        <v>58</v>
      </c>
      <c r="Q14" s="42">
        <v>58</v>
      </c>
      <c r="R14" s="42">
        <v>58</v>
      </c>
      <c r="S14" s="42">
        <v>58</v>
      </c>
      <c r="T14" s="42">
        <v>58</v>
      </c>
      <c r="U14" s="42">
        <v>58</v>
      </c>
      <c r="V14" s="42">
        <v>58</v>
      </c>
      <c r="W14" s="42">
        <v>58</v>
      </c>
      <c r="X14" s="42">
        <v>58</v>
      </c>
      <c r="Y14" s="42">
        <v>58</v>
      </c>
      <c r="Z14" s="42">
        <v>58</v>
      </c>
      <c r="AA14" s="42">
        <v>58</v>
      </c>
    </row>
    <row r="15" spans="1:27" ht="13" x14ac:dyDescent="0.3">
      <c r="A15" s="45">
        <v>56</v>
      </c>
      <c r="B15" s="47">
        <f>$A15</f>
        <v>56</v>
      </c>
      <c r="C15" s="42">
        <v>56</v>
      </c>
      <c r="D15" s="42">
        <v>56</v>
      </c>
      <c r="E15" s="42">
        <v>57</v>
      </c>
      <c r="F15" s="42">
        <v>57</v>
      </c>
      <c r="G15" s="42">
        <v>58</v>
      </c>
      <c r="H15" s="42">
        <v>58</v>
      </c>
      <c r="I15" s="42">
        <v>59</v>
      </c>
      <c r="J15" s="42">
        <v>59</v>
      </c>
      <c r="K15" s="42">
        <v>59</v>
      </c>
      <c r="L15" s="42">
        <v>59</v>
      </c>
      <c r="M15" s="42">
        <v>59</v>
      </c>
      <c r="N15" s="42">
        <v>59</v>
      </c>
      <c r="O15" s="42">
        <v>59</v>
      </c>
      <c r="P15" s="42">
        <v>59</v>
      </c>
      <c r="Q15" s="42">
        <v>59</v>
      </c>
      <c r="R15" s="42">
        <v>59</v>
      </c>
      <c r="S15" s="42">
        <v>59</v>
      </c>
      <c r="T15" s="42">
        <v>59</v>
      </c>
      <c r="U15" s="42">
        <v>59</v>
      </c>
      <c r="V15" s="42">
        <v>59</v>
      </c>
      <c r="W15" s="42">
        <v>59</v>
      </c>
      <c r="X15" s="42">
        <v>59</v>
      </c>
      <c r="Y15" s="42">
        <v>59</v>
      </c>
      <c r="Z15" s="42">
        <v>59</v>
      </c>
      <c r="AA15" s="42">
        <v>59</v>
      </c>
    </row>
    <row r="16" spans="1:27" ht="13" x14ac:dyDescent="0.3">
      <c r="A16" s="45">
        <v>57</v>
      </c>
      <c r="B16" s="47">
        <f t="shared" ref="B16:B39" si="0">$A16</f>
        <v>57</v>
      </c>
      <c r="C16" s="42">
        <f>$A16</f>
        <v>57</v>
      </c>
      <c r="D16" s="42">
        <v>57</v>
      </c>
      <c r="E16" s="42">
        <v>57</v>
      </c>
      <c r="F16" s="42">
        <v>58</v>
      </c>
      <c r="G16" s="42">
        <v>58</v>
      </c>
      <c r="H16" s="42">
        <v>59</v>
      </c>
      <c r="I16" s="42">
        <v>59</v>
      </c>
      <c r="J16" s="42">
        <v>60</v>
      </c>
      <c r="K16" s="42">
        <v>60</v>
      </c>
      <c r="L16" s="42">
        <v>60</v>
      </c>
      <c r="M16" s="42">
        <v>60</v>
      </c>
      <c r="N16" s="42">
        <v>60</v>
      </c>
      <c r="O16" s="42">
        <v>60</v>
      </c>
      <c r="P16" s="42">
        <v>60</v>
      </c>
      <c r="Q16" s="42">
        <v>60</v>
      </c>
      <c r="R16" s="42">
        <v>60</v>
      </c>
      <c r="S16" s="42">
        <v>60</v>
      </c>
      <c r="T16" s="42">
        <v>60</v>
      </c>
      <c r="U16" s="42">
        <v>60</v>
      </c>
      <c r="V16" s="42">
        <v>60</v>
      </c>
      <c r="W16" s="42">
        <v>60</v>
      </c>
      <c r="X16" s="42">
        <v>60</v>
      </c>
      <c r="Y16" s="42">
        <v>60</v>
      </c>
      <c r="Z16" s="42">
        <v>60</v>
      </c>
      <c r="AA16" s="42">
        <v>60</v>
      </c>
    </row>
    <row r="17" spans="1:27" ht="13" x14ac:dyDescent="0.3">
      <c r="A17" s="45">
        <v>58</v>
      </c>
      <c r="B17" s="47">
        <f t="shared" si="0"/>
        <v>58</v>
      </c>
      <c r="C17" s="42">
        <f t="shared" ref="C17:R39" si="1">$A17</f>
        <v>58</v>
      </c>
      <c r="D17" s="42">
        <f t="shared" si="1"/>
        <v>58</v>
      </c>
      <c r="E17" s="42">
        <v>58</v>
      </c>
      <c r="F17" s="42">
        <v>58</v>
      </c>
      <c r="G17" s="42">
        <v>59</v>
      </c>
      <c r="H17" s="42">
        <v>59</v>
      </c>
      <c r="I17" s="42">
        <v>60</v>
      </c>
      <c r="J17" s="42">
        <v>60</v>
      </c>
      <c r="K17" s="42">
        <v>60</v>
      </c>
      <c r="L17" s="42">
        <v>60</v>
      </c>
      <c r="M17" s="42">
        <v>61</v>
      </c>
      <c r="N17" s="42">
        <v>61</v>
      </c>
      <c r="O17" s="42">
        <v>61</v>
      </c>
      <c r="P17" s="42">
        <v>61</v>
      </c>
      <c r="Q17" s="42">
        <v>61</v>
      </c>
      <c r="R17" s="42">
        <v>61</v>
      </c>
      <c r="S17" s="42">
        <v>61</v>
      </c>
      <c r="T17" s="42">
        <v>61</v>
      </c>
      <c r="U17" s="42">
        <v>61</v>
      </c>
      <c r="V17" s="42">
        <v>61</v>
      </c>
      <c r="W17" s="42">
        <v>61</v>
      </c>
      <c r="X17" s="42">
        <v>61</v>
      </c>
      <c r="Y17" s="42">
        <v>61</v>
      </c>
      <c r="Z17" s="42">
        <v>61</v>
      </c>
      <c r="AA17" s="42">
        <v>61</v>
      </c>
    </row>
    <row r="18" spans="1:27" ht="13" x14ac:dyDescent="0.3">
      <c r="A18" s="45">
        <v>59</v>
      </c>
      <c r="B18" s="47">
        <f t="shared" si="0"/>
        <v>59</v>
      </c>
      <c r="C18" s="42">
        <f t="shared" si="1"/>
        <v>59</v>
      </c>
      <c r="D18" s="42">
        <f t="shared" si="1"/>
        <v>59</v>
      </c>
      <c r="E18" s="42">
        <f t="shared" si="1"/>
        <v>59</v>
      </c>
      <c r="F18" s="42">
        <v>59</v>
      </c>
      <c r="G18" s="42">
        <v>59</v>
      </c>
      <c r="H18" s="42">
        <v>60</v>
      </c>
      <c r="I18" s="42">
        <v>60</v>
      </c>
      <c r="J18" s="42">
        <v>61</v>
      </c>
      <c r="K18" s="42">
        <v>61</v>
      </c>
      <c r="L18" s="42">
        <v>61</v>
      </c>
      <c r="M18" s="42">
        <v>61</v>
      </c>
      <c r="N18" s="42">
        <v>61</v>
      </c>
      <c r="O18" s="42">
        <v>61</v>
      </c>
      <c r="P18" s="42">
        <v>61</v>
      </c>
      <c r="Q18" s="42">
        <v>61</v>
      </c>
      <c r="R18" s="42">
        <v>61</v>
      </c>
      <c r="S18" s="42">
        <v>61</v>
      </c>
      <c r="T18" s="42">
        <v>61</v>
      </c>
      <c r="U18" s="42">
        <v>61</v>
      </c>
      <c r="V18" s="42">
        <v>61</v>
      </c>
      <c r="W18" s="42">
        <v>61</v>
      </c>
      <c r="X18" s="42">
        <v>61</v>
      </c>
      <c r="Y18" s="42">
        <v>61</v>
      </c>
      <c r="Z18" s="42">
        <v>61</v>
      </c>
      <c r="AA18" s="42">
        <v>61</v>
      </c>
    </row>
    <row r="19" spans="1:27" ht="13" x14ac:dyDescent="0.3">
      <c r="A19" s="45">
        <v>60</v>
      </c>
      <c r="B19" s="47">
        <f t="shared" si="0"/>
        <v>60</v>
      </c>
      <c r="C19" s="42">
        <f t="shared" si="1"/>
        <v>60</v>
      </c>
      <c r="D19" s="42">
        <f t="shared" si="1"/>
        <v>60</v>
      </c>
      <c r="E19" s="42">
        <f t="shared" si="1"/>
        <v>60</v>
      </c>
      <c r="F19" s="42">
        <f t="shared" si="1"/>
        <v>60</v>
      </c>
      <c r="G19" s="42">
        <v>60</v>
      </c>
      <c r="H19" s="42">
        <v>60</v>
      </c>
      <c r="I19" s="42">
        <v>61</v>
      </c>
      <c r="J19" s="42">
        <v>61</v>
      </c>
      <c r="K19" s="42">
        <v>61</v>
      </c>
      <c r="L19" s="42">
        <v>62</v>
      </c>
      <c r="M19" s="42">
        <v>62</v>
      </c>
      <c r="N19" s="42">
        <v>62</v>
      </c>
      <c r="O19" s="42">
        <v>62</v>
      </c>
      <c r="P19" s="42">
        <v>62</v>
      </c>
      <c r="Q19" s="42">
        <v>62</v>
      </c>
      <c r="R19" s="42">
        <v>62</v>
      </c>
      <c r="S19" s="42">
        <v>62</v>
      </c>
      <c r="T19" s="42">
        <v>62</v>
      </c>
      <c r="U19" s="42">
        <v>62</v>
      </c>
      <c r="V19" s="42">
        <v>62</v>
      </c>
      <c r="W19" s="42">
        <v>62</v>
      </c>
      <c r="X19" s="42">
        <v>62</v>
      </c>
      <c r="Y19" s="42">
        <v>62</v>
      </c>
      <c r="Z19" s="42">
        <v>62</v>
      </c>
      <c r="AA19" s="42">
        <v>62</v>
      </c>
    </row>
    <row r="20" spans="1:27" ht="13" x14ac:dyDescent="0.3">
      <c r="A20" s="45">
        <v>61</v>
      </c>
      <c r="B20" s="47">
        <f t="shared" si="0"/>
        <v>61</v>
      </c>
      <c r="C20" s="42">
        <f t="shared" si="1"/>
        <v>61</v>
      </c>
      <c r="D20" s="42">
        <f t="shared" si="1"/>
        <v>61</v>
      </c>
      <c r="E20" s="42">
        <f t="shared" si="1"/>
        <v>61</v>
      </c>
      <c r="F20" s="42">
        <f t="shared" si="1"/>
        <v>61</v>
      </c>
      <c r="G20" s="42">
        <f t="shared" si="1"/>
        <v>61</v>
      </c>
      <c r="H20" s="42">
        <v>61</v>
      </c>
      <c r="I20" s="42">
        <v>61</v>
      </c>
      <c r="J20" s="42">
        <v>62</v>
      </c>
      <c r="K20" s="42">
        <v>62</v>
      </c>
      <c r="L20" s="42">
        <v>62</v>
      </c>
      <c r="M20" s="42">
        <v>62</v>
      </c>
      <c r="N20" s="42">
        <v>62</v>
      </c>
      <c r="O20" s="42">
        <v>62</v>
      </c>
      <c r="P20" s="42">
        <v>62</v>
      </c>
      <c r="Q20" s="42">
        <v>62</v>
      </c>
      <c r="R20" s="42">
        <v>62</v>
      </c>
      <c r="S20" s="42">
        <v>62</v>
      </c>
      <c r="T20" s="42">
        <v>62</v>
      </c>
      <c r="U20" s="42">
        <v>62</v>
      </c>
      <c r="V20" s="42">
        <v>62</v>
      </c>
      <c r="W20" s="42">
        <v>62</v>
      </c>
      <c r="X20" s="42">
        <v>62</v>
      </c>
      <c r="Y20" s="42">
        <v>62</v>
      </c>
      <c r="Z20" s="42">
        <v>62</v>
      </c>
      <c r="AA20" s="42">
        <v>62</v>
      </c>
    </row>
    <row r="21" spans="1:27" ht="13" x14ac:dyDescent="0.3">
      <c r="A21" s="45">
        <v>62</v>
      </c>
      <c r="B21" s="47">
        <f t="shared" si="0"/>
        <v>62</v>
      </c>
      <c r="C21" s="42">
        <f t="shared" si="1"/>
        <v>62</v>
      </c>
      <c r="D21" s="42">
        <f t="shared" si="1"/>
        <v>62</v>
      </c>
      <c r="E21" s="42">
        <f t="shared" si="1"/>
        <v>62</v>
      </c>
      <c r="F21" s="42">
        <f t="shared" si="1"/>
        <v>62</v>
      </c>
      <c r="G21" s="42">
        <f t="shared" si="1"/>
        <v>62</v>
      </c>
      <c r="H21" s="42">
        <f t="shared" si="1"/>
        <v>62</v>
      </c>
      <c r="I21" s="42">
        <v>62</v>
      </c>
      <c r="J21" s="42">
        <v>62</v>
      </c>
      <c r="K21" s="42">
        <v>62</v>
      </c>
      <c r="L21" s="42">
        <v>62</v>
      </c>
      <c r="M21" s="42">
        <v>62</v>
      </c>
      <c r="N21" s="42">
        <v>62</v>
      </c>
      <c r="O21" s="42">
        <v>62</v>
      </c>
      <c r="P21" s="42">
        <v>62</v>
      </c>
      <c r="Q21" s="42">
        <v>62</v>
      </c>
      <c r="R21" s="42">
        <v>62</v>
      </c>
      <c r="S21" s="42">
        <v>62</v>
      </c>
      <c r="T21" s="42">
        <v>62</v>
      </c>
      <c r="U21" s="42">
        <v>62</v>
      </c>
      <c r="V21" s="42">
        <v>62</v>
      </c>
      <c r="W21" s="42">
        <v>62</v>
      </c>
      <c r="X21" s="42">
        <v>62</v>
      </c>
      <c r="Y21" s="42">
        <v>62</v>
      </c>
      <c r="Z21" s="42">
        <v>62</v>
      </c>
      <c r="AA21" s="42">
        <v>62</v>
      </c>
    </row>
    <row r="22" spans="1:27" ht="13.15" customHeight="1" x14ac:dyDescent="0.3">
      <c r="A22" s="45">
        <v>63</v>
      </c>
      <c r="B22" s="47">
        <f t="shared" si="0"/>
        <v>63</v>
      </c>
      <c r="C22" s="42">
        <f t="shared" si="1"/>
        <v>63</v>
      </c>
      <c r="D22" s="42">
        <f t="shared" si="1"/>
        <v>63</v>
      </c>
      <c r="E22" s="42">
        <f t="shared" si="1"/>
        <v>63</v>
      </c>
      <c r="F22" s="42">
        <f t="shared" si="1"/>
        <v>63</v>
      </c>
      <c r="G22" s="42">
        <f t="shared" si="1"/>
        <v>63</v>
      </c>
      <c r="H22" s="42">
        <f t="shared" si="1"/>
        <v>63</v>
      </c>
      <c r="I22" s="42">
        <f t="shared" si="1"/>
        <v>63</v>
      </c>
      <c r="J22" s="42">
        <v>63</v>
      </c>
      <c r="K22" s="42">
        <v>63</v>
      </c>
      <c r="L22" s="42">
        <v>63</v>
      </c>
      <c r="M22" s="42">
        <v>64</v>
      </c>
      <c r="N22" s="42">
        <v>64</v>
      </c>
      <c r="O22" s="42">
        <v>64</v>
      </c>
      <c r="P22" s="42">
        <v>64</v>
      </c>
      <c r="Q22" s="42">
        <v>64</v>
      </c>
      <c r="R22" s="42">
        <v>64</v>
      </c>
      <c r="S22" s="42">
        <v>64</v>
      </c>
      <c r="T22" s="42">
        <v>64</v>
      </c>
      <c r="U22" s="42">
        <v>64</v>
      </c>
      <c r="V22" s="42">
        <v>64</v>
      </c>
      <c r="W22" s="42">
        <v>64</v>
      </c>
      <c r="X22" s="42">
        <v>64</v>
      </c>
      <c r="Y22" s="42">
        <v>64</v>
      </c>
      <c r="Z22" s="42">
        <v>64</v>
      </c>
      <c r="AA22" s="42">
        <v>64</v>
      </c>
    </row>
    <row r="23" spans="1:27" ht="13.15" customHeight="1" x14ac:dyDescent="0.3">
      <c r="A23" s="45">
        <v>64</v>
      </c>
      <c r="B23" s="47">
        <f t="shared" si="0"/>
        <v>64</v>
      </c>
      <c r="C23" s="42">
        <f t="shared" si="1"/>
        <v>64</v>
      </c>
      <c r="D23" s="42">
        <f t="shared" si="1"/>
        <v>64</v>
      </c>
      <c r="E23" s="42">
        <f t="shared" si="1"/>
        <v>64</v>
      </c>
      <c r="F23" s="42">
        <f t="shared" si="1"/>
        <v>64</v>
      </c>
      <c r="G23" s="42">
        <f t="shared" si="1"/>
        <v>64</v>
      </c>
      <c r="H23" s="42">
        <f t="shared" si="1"/>
        <v>64</v>
      </c>
      <c r="I23" s="42">
        <f t="shared" si="1"/>
        <v>64</v>
      </c>
      <c r="J23" s="42">
        <f t="shared" si="1"/>
        <v>64</v>
      </c>
      <c r="K23" s="42">
        <v>64</v>
      </c>
      <c r="L23" s="42">
        <v>64</v>
      </c>
      <c r="M23" s="42">
        <v>64</v>
      </c>
      <c r="N23" s="42">
        <v>64</v>
      </c>
      <c r="O23" s="42">
        <v>64</v>
      </c>
      <c r="P23" s="42">
        <v>64</v>
      </c>
      <c r="Q23" s="42">
        <v>64</v>
      </c>
      <c r="R23" s="42">
        <v>64</v>
      </c>
      <c r="S23" s="42">
        <v>64</v>
      </c>
      <c r="T23" s="42">
        <v>64</v>
      </c>
      <c r="U23" s="42">
        <v>64</v>
      </c>
      <c r="V23" s="42">
        <v>64</v>
      </c>
      <c r="W23" s="42">
        <v>64</v>
      </c>
      <c r="X23" s="42">
        <v>64</v>
      </c>
      <c r="Y23" s="42">
        <v>64</v>
      </c>
      <c r="Z23" s="42">
        <v>64</v>
      </c>
      <c r="AA23" s="42">
        <v>64</v>
      </c>
    </row>
    <row r="24" spans="1:27" ht="13" x14ac:dyDescent="0.3">
      <c r="A24" s="45">
        <v>65</v>
      </c>
      <c r="B24" s="47">
        <f t="shared" si="0"/>
        <v>65</v>
      </c>
      <c r="C24" s="42">
        <f t="shared" si="1"/>
        <v>65</v>
      </c>
      <c r="D24" s="42">
        <f t="shared" si="1"/>
        <v>65</v>
      </c>
      <c r="E24" s="42">
        <f t="shared" si="1"/>
        <v>65</v>
      </c>
      <c r="F24" s="42">
        <f t="shared" si="1"/>
        <v>65</v>
      </c>
      <c r="G24" s="42">
        <f t="shared" si="1"/>
        <v>65</v>
      </c>
      <c r="H24" s="42">
        <f t="shared" si="1"/>
        <v>65</v>
      </c>
      <c r="I24" s="42">
        <f t="shared" si="1"/>
        <v>65</v>
      </c>
      <c r="J24" s="42">
        <f t="shared" si="1"/>
        <v>65</v>
      </c>
      <c r="K24" s="42">
        <f t="shared" si="1"/>
        <v>65</v>
      </c>
      <c r="L24" s="42">
        <v>65</v>
      </c>
      <c r="M24" s="42">
        <v>65</v>
      </c>
      <c r="N24" s="42">
        <v>65</v>
      </c>
      <c r="O24" s="42">
        <v>65</v>
      </c>
      <c r="P24" s="42">
        <v>65</v>
      </c>
      <c r="Q24" s="42">
        <v>65</v>
      </c>
      <c r="R24" s="42">
        <v>65</v>
      </c>
      <c r="S24" s="42">
        <v>65</v>
      </c>
      <c r="T24" s="42">
        <v>65</v>
      </c>
      <c r="U24" s="42">
        <v>65</v>
      </c>
      <c r="V24" s="42">
        <v>65</v>
      </c>
      <c r="W24" s="42">
        <v>65</v>
      </c>
      <c r="X24" s="42">
        <v>65</v>
      </c>
      <c r="Y24" s="42">
        <v>65</v>
      </c>
      <c r="Z24" s="42">
        <v>65</v>
      </c>
      <c r="AA24" s="42">
        <v>65</v>
      </c>
    </row>
    <row r="25" spans="1:27" ht="13" x14ac:dyDescent="0.3">
      <c r="A25" s="45">
        <v>66</v>
      </c>
      <c r="B25" s="47">
        <f t="shared" si="0"/>
        <v>66</v>
      </c>
      <c r="C25" s="42">
        <f t="shared" si="1"/>
        <v>66</v>
      </c>
      <c r="D25" s="42">
        <f t="shared" si="1"/>
        <v>66</v>
      </c>
      <c r="E25" s="42">
        <f t="shared" si="1"/>
        <v>66</v>
      </c>
      <c r="F25" s="42">
        <f t="shared" si="1"/>
        <v>66</v>
      </c>
      <c r="G25" s="42">
        <f t="shared" si="1"/>
        <v>66</v>
      </c>
      <c r="H25" s="42">
        <f t="shared" si="1"/>
        <v>66</v>
      </c>
      <c r="I25" s="42">
        <f t="shared" si="1"/>
        <v>66</v>
      </c>
      <c r="J25" s="42">
        <f t="shared" si="1"/>
        <v>66</v>
      </c>
      <c r="K25" s="42">
        <f t="shared" si="1"/>
        <v>66</v>
      </c>
      <c r="L25" s="42">
        <f t="shared" si="1"/>
        <v>66</v>
      </c>
      <c r="M25" s="42">
        <v>66</v>
      </c>
      <c r="N25" s="42">
        <v>66</v>
      </c>
      <c r="O25" s="42">
        <v>66</v>
      </c>
      <c r="P25" s="42">
        <v>66</v>
      </c>
      <c r="Q25" s="42">
        <v>66</v>
      </c>
      <c r="R25" s="42">
        <v>66</v>
      </c>
      <c r="S25" s="42">
        <v>66</v>
      </c>
      <c r="T25" s="42">
        <v>66</v>
      </c>
      <c r="U25" s="42">
        <v>66</v>
      </c>
      <c r="V25" s="42">
        <v>66</v>
      </c>
      <c r="W25" s="42">
        <v>66</v>
      </c>
      <c r="X25" s="42">
        <v>66</v>
      </c>
      <c r="Y25" s="42">
        <v>66</v>
      </c>
      <c r="Z25" s="42">
        <v>66</v>
      </c>
      <c r="AA25" s="42">
        <v>66</v>
      </c>
    </row>
    <row r="26" spans="1:27" ht="13" x14ac:dyDescent="0.3">
      <c r="A26" s="45">
        <v>67</v>
      </c>
      <c r="B26" s="47">
        <f t="shared" si="0"/>
        <v>67</v>
      </c>
      <c r="C26" s="42">
        <f t="shared" si="1"/>
        <v>67</v>
      </c>
      <c r="D26" s="42">
        <f t="shared" si="1"/>
        <v>67</v>
      </c>
      <c r="E26" s="42">
        <f t="shared" si="1"/>
        <v>67</v>
      </c>
      <c r="F26" s="42">
        <f t="shared" si="1"/>
        <v>67</v>
      </c>
      <c r="G26" s="42">
        <f t="shared" si="1"/>
        <v>67</v>
      </c>
      <c r="H26" s="42">
        <f t="shared" si="1"/>
        <v>67</v>
      </c>
      <c r="I26" s="42">
        <f t="shared" si="1"/>
        <v>67</v>
      </c>
      <c r="J26" s="42">
        <f t="shared" si="1"/>
        <v>67</v>
      </c>
      <c r="K26" s="42">
        <f t="shared" si="1"/>
        <v>67</v>
      </c>
      <c r="L26" s="42">
        <f t="shared" si="1"/>
        <v>67</v>
      </c>
      <c r="M26" s="42">
        <f t="shared" si="1"/>
        <v>67</v>
      </c>
      <c r="N26" s="42">
        <v>67</v>
      </c>
      <c r="O26" s="42">
        <v>67</v>
      </c>
      <c r="P26" s="42">
        <v>67</v>
      </c>
      <c r="Q26" s="42">
        <v>67</v>
      </c>
      <c r="R26" s="42">
        <v>67</v>
      </c>
      <c r="S26" s="42">
        <v>67</v>
      </c>
      <c r="T26" s="42">
        <v>67</v>
      </c>
      <c r="U26" s="42">
        <v>67</v>
      </c>
      <c r="V26" s="42">
        <v>67</v>
      </c>
      <c r="W26" s="42">
        <v>67</v>
      </c>
      <c r="X26" s="42">
        <v>67</v>
      </c>
      <c r="Y26" s="42">
        <v>67</v>
      </c>
      <c r="Z26" s="42">
        <v>67</v>
      </c>
      <c r="AA26" s="42">
        <v>67</v>
      </c>
    </row>
    <row r="27" spans="1:27" ht="13" x14ac:dyDescent="0.3">
      <c r="A27" s="45">
        <v>68</v>
      </c>
      <c r="B27" s="47">
        <f t="shared" si="0"/>
        <v>68</v>
      </c>
      <c r="C27" s="42">
        <f t="shared" si="1"/>
        <v>68</v>
      </c>
      <c r="D27" s="42">
        <f t="shared" si="1"/>
        <v>68</v>
      </c>
      <c r="E27" s="42">
        <f t="shared" si="1"/>
        <v>68</v>
      </c>
      <c r="F27" s="42">
        <f t="shared" si="1"/>
        <v>68</v>
      </c>
      <c r="G27" s="42">
        <f t="shared" si="1"/>
        <v>68</v>
      </c>
      <c r="H27" s="42">
        <f t="shared" si="1"/>
        <v>68</v>
      </c>
      <c r="I27" s="42">
        <f t="shared" si="1"/>
        <v>68</v>
      </c>
      <c r="J27" s="42">
        <f t="shared" si="1"/>
        <v>68</v>
      </c>
      <c r="K27" s="42">
        <f t="shared" si="1"/>
        <v>68</v>
      </c>
      <c r="L27" s="42">
        <f t="shared" si="1"/>
        <v>68</v>
      </c>
      <c r="M27" s="42">
        <f t="shared" si="1"/>
        <v>68</v>
      </c>
      <c r="N27" s="42">
        <f t="shared" si="1"/>
        <v>68</v>
      </c>
      <c r="O27" s="42">
        <v>68</v>
      </c>
      <c r="P27" s="42">
        <v>68</v>
      </c>
      <c r="Q27" s="42">
        <v>68</v>
      </c>
      <c r="R27" s="42">
        <v>68</v>
      </c>
      <c r="S27" s="42">
        <v>68</v>
      </c>
      <c r="T27" s="42">
        <v>68</v>
      </c>
      <c r="U27" s="42">
        <v>68</v>
      </c>
      <c r="V27" s="42">
        <v>68</v>
      </c>
      <c r="W27" s="42">
        <v>68</v>
      </c>
      <c r="X27" s="42">
        <v>68</v>
      </c>
      <c r="Y27" s="42">
        <v>68</v>
      </c>
      <c r="Z27" s="42">
        <v>68</v>
      </c>
      <c r="AA27" s="42">
        <v>68</v>
      </c>
    </row>
    <row r="28" spans="1:27" ht="13" x14ac:dyDescent="0.3">
      <c r="A28" s="45">
        <v>69</v>
      </c>
      <c r="B28" s="47">
        <f t="shared" si="0"/>
        <v>69</v>
      </c>
      <c r="C28" s="42">
        <f t="shared" si="1"/>
        <v>69</v>
      </c>
      <c r="D28" s="42">
        <f t="shared" si="1"/>
        <v>69</v>
      </c>
      <c r="E28" s="42">
        <f t="shared" si="1"/>
        <v>69</v>
      </c>
      <c r="F28" s="42">
        <f t="shared" si="1"/>
        <v>69</v>
      </c>
      <c r="G28" s="42">
        <f t="shared" si="1"/>
        <v>69</v>
      </c>
      <c r="H28" s="42">
        <f t="shared" si="1"/>
        <v>69</v>
      </c>
      <c r="I28" s="42">
        <f t="shared" si="1"/>
        <v>69</v>
      </c>
      <c r="J28" s="42">
        <f t="shared" si="1"/>
        <v>69</v>
      </c>
      <c r="K28" s="42">
        <f t="shared" si="1"/>
        <v>69</v>
      </c>
      <c r="L28" s="42">
        <f t="shared" si="1"/>
        <v>69</v>
      </c>
      <c r="M28" s="42">
        <f t="shared" si="1"/>
        <v>69</v>
      </c>
      <c r="N28" s="42">
        <f t="shared" si="1"/>
        <v>69</v>
      </c>
      <c r="O28" s="42">
        <f t="shared" si="1"/>
        <v>69</v>
      </c>
      <c r="P28" s="42">
        <v>69</v>
      </c>
      <c r="Q28" s="42">
        <v>69</v>
      </c>
      <c r="R28" s="42">
        <v>69</v>
      </c>
      <c r="S28" s="42">
        <v>69</v>
      </c>
      <c r="T28" s="42">
        <v>69</v>
      </c>
      <c r="U28" s="42">
        <v>69</v>
      </c>
      <c r="V28" s="42">
        <v>69</v>
      </c>
      <c r="W28" s="42">
        <v>69</v>
      </c>
      <c r="X28" s="42">
        <v>69</v>
      </c>
      <c r="Y28" s="42">
        <v>69</v>
      </c>
      <c r="Z28" s="42">
        <v>69</v>
      </c>
      <c r="AA28" s="42">
        <v>69</v>
      </c>
    </row>
    <row r="29" spans="1:27" ht="13" x14ac:dyDescent="0.3">
      <c r="A29" s="45">
        <v>70</v>
      </c>
      <c r="B29" s="47">
        <f t="shared" si="0"/>
        <v>70</v>
      </c>
      <c r="C29" s="42">
        <f t="shared" si="1"/>
        <v>70</v>
      </c>
      <c r="D29" s="42">
        <f t="shared" si="1"/>
        <v>70</v>
      </c>
      <c r="E29" s="42">
        <f t="shared" si="1"/>
        <v>70</v>
      </c>
      <c r="F29" s="42">
        <f t="shared" si="1"/>
        <v>70</v>
      </c>
      <c r="G29" s="42">
        <f t="shared" si="1"/>
        <v>70</v>
      </c>
      <c r="H29" s="42">
        <f t="shared" si="1"/>
        <v>70</v>
      </c>
      <c r="I29" s="42">
        <f t="shared" si="1"/>
        <v>70</v>
      </c>
      <c r="J29" s="42">
        <f t="shared" si="1"/>
        <v>70</v>
      </c>
      <c r="K29" s="42">
        <f t="shared" si="1"/>
        <v>70</v>
      </c>
      <c r="L29" s="42">
        <f t="shared" si="1"/>
        <v>70</v>
      </c>
      <c r="M29" s="42">
        <f t="shared" si="1"/>
        <v>70</v>
      </c>
      <c r="N29" s="42">
        <f t="shared" si="1"/>
        <v>70</v>
      </c>
      <c r="O29" s="42">
        <f t="shared" si="1"/>
        <v>70</v>
      </c>
      <c r="P29" s="42">
        <f t="shared" si="1"/>
        <v>70</v>
      </c>
      <c r="Q29" s="42">
        <v>70</v>
      </c>
      <c r="R29" s="42">
        <v>70</v>
      </c>
      <c r="S29" s="42">
        <v>70</v>
      </c>
      <c r="T29" s="42">
        <v>70</v>
      </c>
      <c r="U29" s="42">
        <v>70</v>
      </c>
      <c r="V29" s="42">
        <v>70</v>
      </c>
      <c r="W29" s="42">
        <v>70</v>
      </c>
      <c r="X29" s="42">
        <v>70</v>
      </c>
      <c r="Y29" s="42">
        <v>70</v>
      </c>
      <c r="Z29" s="42">
        <v>70</v>
      </c>
      <c r="AA29" s="42">
        <v>70</v>
      </c>
    </row>
    <row r="30" spans="1:27" ht="13" x14ac:dyDescent="0.3">
      <c r="A30" s="45">
        <v>71</v>
      </c>
      <c r="B30" s="47">
        <f t="shared" si="0"/>
        <v>71</v>
      </c>
      <c r="C30" s="42">
        <f t="shared" si="1"/>
        <v>71</v>
      </c>
      <c r="D30" s="42">
        <f t="shared" si="1"/>
        <v>71</v>
      </c>
      <c r="E30" s="42">
        <f t="shared" si="1"/>
        <v>71</v>
      </c>
      <c r="F30" s="42">
        <f t="shared" si="1"/>
        <v>71</v>
      </c>
      <c r="G30" s="42">
        <f t="shared" si="1"/>
        <v>71</v>
      </c>
      <c r="H30" s="42">
        <f t="shared" si="1"/>
        <v>71</v>
      </c>
      <c r="I30" s="42">
        <f t="shared" si="1"/>
        <v>71</v>
      </c>
      <c r="J30" s="42">
        <f t="shared" si="1"/>
        <v>71</v>
      </c>
      <c r="K30" s="42">
        <f t="shared" si="1"/>
        <v>71</v>
      </c>
      <c r="L30" s="42">
        <f t="shared" si="1"/>
        <v>71</v>
      </c>
      <c r="M30" s="42">
        <f t="shared" si="1"/>
        <v>71</v>
      </c>
      <c r="N30" s="42">
        <f t="shared" si="1"/>
        <v>71</v>
      </c>
      <c r="O30" s="42">
        <f t="shared" si="1"/>
        <v>71</v>
      </c>
      <c r="P30" s="42">
        <f t="shared" si="1"/>
        <v>71</v>
      </c>
      <c r="Q30" s="42">
        <f t="shared" si="1"/>
        <v>71</v>
      </c>
      <c r="R30" s="42">
        <v>71</v>
      </c>
      <c r="S30" s="42">
        <v>71</v>
      </c>
      <c r="T30" s="42">
        <v>71</v>
      </c>
      <c r="U30" s="42">
        <v>71</v>
      </c>
      <c r="V30" s="42">
        <v>71</v>
      </c>
      <c r="W30" s="42">
        <v>71</v>
      </c>
      <c r="X30" s="42">
        <v>71</v>
      </c>
      <c r="Y30" s="42">
        <v>71</v>
      </c>
      <c r="Z30" s="42">
        <v>71</v>
      </c>
      <c r="AA30" s="42">
        <v>71</v>
      </c>
    </row>
    <row r="31" spans="1:27" ht="13" x14ac:dyDescent="0.3">
      <c r="A31" s="45">
        <v>72</v>
      </c>
      <c r="B31" s="47">
        <f t="shared" si="0"/>
        <v>72</v>
      </c>
      <c r="C31" s="42">
        <f t="shared" si="1"/>
        <v>72</v>
      </c>
      <c r="D31" s="42">
        <f t="shared" si="1"/>
        <v>72</v>
      </c>
      <c r="E31" s="42">
        <f t="shared" si="1"/>
        <v>72</v>
      </c>
      <c r="F31" s="42">
        <f t="shared" si="1"/>
        <v>72</v>
      </c>
      <c r="G31" s="42">
        <f t="shared" si="1"/>
        <v>72</v>
      </c>
      <c r="H31" s="42">
        <f t="shared" si="1"/>
        <v>72</v>
      </c>
      <c r="I31" s="42">
        <f t="shared" si="1"/>
        <v>72</v>
      </c>
      <c r="J31" s="42">
        <f t="shared" si="1"/>
        <v>72</v>
      </c>
      <c r="K31" s="42">
        <f t="shared" si="1"/>
        <v>72</v>
      </c>
      <c r="L31" s="42">
        <f t="shared" si="1"/>
        <v>72</v>
      </c>
      <c r="M31" s="42">
        <f t="shared" si="1"/>
        <v>72</v>
      </c>
      <c r="N31" s="42">
        <f t="shared" si="1"/>
        <v>72</v>
      </c>
      <c r="O31" s="42">
        <f t="shared" si="1"/>
        <v>72</v>
      </c>
      <c r="P31" s="42">
        <f t="shared" si="1"/>
        <v>72</v>
      </c>
      <c r="Q31" s="42">
        <f t="shared" si="1"/>
        <v>72</v>
      </c>
      <c r="R31" s="42">
        <f t="shared" si="1"/>
        <v>72</v>
      </c>
      <c r="S31" s="42">
        <v>72</v>
      </c>
      <c r="T31" s="42">
        <v>72</v>
      </c>
      <c r="U31" s="42">
        <v>72</v>
      </c>
      <c r="V31" s="42">
        <v>72</v>
      </c>
      <c r="W31" s="42">
        <v>72</v>
      </c>
      <c r="X31" s="42">
        <v>72</v>
      </c>
      <c r="Y31" s="42">
        <v>72</v>
      </c>
      <c r="Z31" s="42">
        <v>72</v>
      </c>
      <c r="AA31" s="42">
        <v>72</v>
      </c>
    </row>
    <row r="32" spans="1:27" ht="13" x14ac:dyDescent="0.3">
      <c r="A32" s="45">
        <v>73</v>
      </c>
      <c r="B32" s="47">
        <f t="shared" si="0"/>
        <v>73</v>
      </c>
      <c r="C32" s="42">
        <f t="shared" si="1"/>
        <v>73</v>
      </c>
      <c r="D32" s="42">
        <f t="shared" si="1"/>
        <v>73</v>
      </c>
      <c r="E32" s="42">
        <f t="shared" si="1"/>
        <v>73</v>
      </c>
      <c r="F32" s="42">
        <f t="shared" si="1"/>
        <v>73</v>
      </c>
      <c r="G32" s="42">
        <f t="shared" si="1"/>
        <v>73</v>
      </c>
      <c r="H32" s="42">
        <f t="shared" si="1"/>
        <v>73</v>
      </c>
      <c r="I32" s="42">
        <f t="shared" si="1"/>
        <v>73</v>
      </c>
      <c r="J32" s="42">
        <f t="shared" si="1"/>
        <v>73</v>
      </c>
      <c r="K32" s="42">
        <f t="shared" si="1"/>
        <v>73</v>
      </c>
      <c r="L32" s="42">
        <f t="shared" si="1"/>
        <v>73</v>
      </c>
      <c r="M32" s="42">
        <f t="shared" si="1"/>
        <v>73</v>
      </c>
      <c r="N32" s="42">
        <f t="shared" si="1"/>
        <v>73</v>
      </c>
      <c r="O32" s="42">
        <f t="shared" si="1"/>
        <v>73</v>
      </c>
      <c r="P32" s="42">
        <f t="shared" si="1"/>
        <v>73</v>
      </c>
      <c r="Q32" s="42">
        <f t="shared" si="1"/>
        <v>73</v>
      </c>
      <c r="R32" s="42">
        <f t="shared" si="1"/>
        <v>73</v>
      </c>
      <c r="S32" s="42">
        <f t="shared" ref="R32:Z39" si="2">$A32</f>
        <v>73</v>
      </c>
      <c r="T32" s="42">
        <v>73</v>
      </c>
      <c r="U32" s="42">
        <v>73</v>
      </c>
      <c r="V32" s="42">
        <v>73</v>
      </c>
      <c r="W32" s="42">
        <v>73</v>
      </c>
      <c r="X32" s="42">
        <v>73</v>
      </c>
      <c r="Y32" s="42">
        <v>73</v>
      </c>
      <c r="Z32" s="42">
        <v>73</v>
      </c>
      <c r="AA32" s="42">
        <v>73</v>
      </c>
    </row>
    <row r="33" spans="1:27" ht="13" x14ac:dyDescent="0.3">
      <c r="A33" s="45">
        <v>74</v>
      </c>
      <c r="B33" s="47">
        <f t="shared" si="0"/>
        <v>74</v>
      </c>
      <c r="C33" s="42">
        <f t="shared" si="1"/>
        <v>74</v>
      </c>
      <c r="D33" s="42">
        <f t="shared" si="1"/>
        <v>74</v>
      </c>
      <c r="E33" s="42">
        <f t="shared" si="1"/>
        <v>74</v>
      </c>
      <c r="F33" s="42">
        <f t="shared" si="1"/>
        <v>74</v>
      </c>
      <c r="G33" s="42">
        <f t="shared" si="1"/>
        <v>74</v>
      </c>
      <c r="H33" s="42">
        <f t="shared" si="1"/>
        <v>74</v>
      </c>
      <c r="I33" s="42">
        <f t="shared" si="1"/>
        <v>74</v>
      </c>
      <c r="J33" s="42">
        <f t="shared" si="1"/>
        <v>74</v>
      </c>
      <c r="K33" s="42">
        <f t="shared" si="1"/>
        <v>74</v>
      </c>
      <c r="L33" s="42">
        <f t="shared" si="1"/>
        <v>74</v>
      </c>
      <c r="M33" s="42">
        <f t="shared" si="1"/>
        <v>74</v>
      </c>
      <c r="N33" s="42">
        <f t="shared" si="1"/>
        <v>74</v>
      </c>
      <c r="O33" s="42">
        <f t="shared" si="1"/>
        <v>74</v>
      </c>
      <c r="P33" s="42">
        <f t="shared" si="1"/>
        <v>74</v>
      </c>
      <c r="Q33" s="42">
        <f t="shared" si="1"/>
        <v>74</v>
      </c>
      <c r="R33" s="42">
        <f t="shared" si="2"/>
        <v>74</v>
      </c>
      <c r="S33" s="42">
        <f t="shared" si="2"/>
        <v>74</v>
      </c>
      <c r="T33" s="42">
        <f t="shared" si="2"/>
        <v>74</v>
      </c>
      <c r="U33" s="42">
        <v>74</v>
      </c>
      <c r="V33" s="42">
        <v>74</v>
      </c>
      <c r="W33" s="42">
        <v>74</v>
      </c>
      <c r="X33" s="42">
        <v>74</v>
      </c>
      <c r="Y33" s="42">
        <v>74</v>
      </c>
      <c r="Z33" s="42">
        <v>74</v>
      </c>
      <c r="AA33" s="42">
        <v>74</v>
      </c>
    </row>
    <row r="34" spans="1:27" ht="13" x14ac:dyDescent="0.3">
      <c r="A34" s="45">
        <v>75</v>
      </c>
      <c r="B34" s="47">
        <f t="shared" si="0"/>
        <v>75</v>
      </c>
      <c r="C34" s="42">
        <f t="shared" si="1"/>
        <v>75</v>
      </c>
      <c r="D34" s="42">
        <f t="shared" si="1"/>
        <v>75</v>
      </c>
      <c r="E34" s="42">
        <f t="shared" si="1"/>
        <v>75</v>
      </c>
      <c r="F34" s="42">
        <f t="shared" si="1"/>
        <v>75</v>
      </c>
      <c r="G34" s="42">
        <f t="shared" si="1"/>
        <v>75</v>
      </c>
      <c r="H34" s="42">
        <f t="shared" si="1"/>
        <v>75</v>
      </c>
      <c r="I34" s="42">
        <f t="shared" si="1"/>
        <v>75</v>
      </c>
      <c r="J34" s="42">
        <f t="shared" si="1"/>
        <v>75</v>
      </c>
      <c r="K34" s="42">
        <f t="shared" si="1"/>
        <v>75</v>
      </c>
      <c r="L34" s="42">
        <f t="shared" si="1"/>
        <v>75</v>
      </c>
      <c r="M34" s="42">
        <f t="shared" si="1"/>
        <v>75</v>
      </c>
      <c r="N34" s="42">
        <f t="shared" si="1"/>
        <v>75</v>
      </c>
      <c r="O34" s="42">
        <f t="shared" si="1"/>
        <v>75</v>
      </c>
      <c r="P34" s="42">
        <f t="shared" si="1"/>
        <v>75</v>
      </c>
      <c r="Q34" s="42">
        <f t="shared" si="1"/>
        <v>75</v>
      </c>
      <c r="R34" s="42">
        <f t="shared" si="2"/>
        <v>75</v>
      </c>
      <c r="S34" s="42">
        <f t="shared" si="2"/>
        <v>75</v>
      </c>
      <c r="T34" s="42">
        <f t="shared" si="2"/>
        <v>75</v>
      </c>
      <c r="U34" s="42">
        <f t="shared" si="2"/>
        <v>75</v>
      </c>
      <c r="V34" s="42">
        <v>75</v>
      </c>
      <c r="W34" s="42">
        <v>75</v>
      </c>
      <c r="X34" s="42">
        <v>75</v>
      </c>
      <c r="Y34" s="42">
        <v>75</v>
      </c>
      <c r="Z34" s="42">
        <v>75</v>
      </c>
      <c r="AA34" s="42">
        <v>75</v>
      </c>
    </row>
    <row r="35" spans="1:27" ht="13" x14ac:dyDescent="0.3">
      <c r="A35" s="45">
        <v>76</v>
      </c>
      <c r="B35" s="47">
        <f t="shared" si="0"/>
        <v>76</v>
      </c>
      <c r="C35" s="42">
        <f t="shared" si="1"/>
        <v>76</v>
      </c>
      <c r="D35" s="42">
        <f t="shared" si="1"/>
        <v>76</v>
      </c>
      <c r="E35" s="42">
        <f t="shared" si="1"/>
        <v>76</v>
      </c>
      <c r="F35" s="42">
        <f t="shared" si="1"/>
        <v>76</v>
      </c>
      <c r="G35" s="42">
        <f t="shared" si="1"/>
        <v>76</v>
      </c>
      <c r="H35" s="42">
        <f t="shared" si="1"/>
        <v>76</v>
      </c>
      <c r="I35" s="42">
        <f t="shared" si="1"/>
        <v>76</v>
      </c>
      <c r="J35" s="42">
        <f t="shared" si="1"/>
        <v>76</v>
      </c>
      <c r="K35" s="42">
        <f t="shared" si="1"/>
        <v>76</v>
      </c>
      <c r="L35" s="42">
        <f t="shared" si="1"/>
        <v>76</v>
      </c>
      <c r="M35" s="42">
        <f t="shared" si="1"/>
        <v>76</v>
      </c>
      <c r="N35" s="42">
        <f t="shared" si="1"/>
        <v>76</v>
      </c>
      <c r="O35" s="42">
        <f t="shared" si="1"/>
        <v>76</v>
      </c>
      <c r="P35" s="42">
        <f t="shared" si="1"/>
        <v>76</v>
      </c>
      <c r="Q35" s="42">
        <f t="shared" si="1"/>
        <v>76</v>
      </c>
      <c r="R35" s="42">
        <f t="shared" si="2"/>
        <v>76</v>
      </c>
      <c r="S35" s="42">
        <f t="shared" si="2"/>
        <v>76</v>
      </c>
      <c r="T35" s="42">
        <f t="shared" si="2"/>
        <v>76</v>
      </c>
      <c r="U35" s="42">
        <f t="shared" si="2"/>
        <v>76</v>
      </c>
      <c r="V35" s="42">
        <f t="shared" si="2"/>
        <v>76</v>
      </c>
      <c r="W35" s="42">
        <v>76</v>
      </c>
      <c r="X35" s="42">
        <v>76</v>
      </c>
      <c r="Y35" s="42">
        <v>76</v>
      </c>
      <c r="Z35" s="42">
        <v>76</v>
      </c>
      <c r="AA35" s="42">
        <v>76</v>
      </c>
    </row>
    <row r="36" spans="1:27" ht="13" x14ac:dyDescent="0.3">
      <c r="A36" s="45">
        <v>77</v>
      </c>
      <c r="B36" s="47">
        <f t="shared" si="0"/>
        <v>77</v>
      </c>
      <c r="C36" s="42">
        <f t="shared" si="1"/>
        <v>77</v>
      </c>
      <c r="D36" s="42">
        <f t="shared" si="1"/>
        <v>77</v>
      </c>
      <c r="E36" s="42">
        <f t="shared" si="1"/>
        <v>77</v>
      </c>
      <c r="F36" s="42">
        <f t="shared" si="1"/>
        <v>77</v>
      </c>
      <c r="G36" s="42">
        <f t="shared" si="1"/>
        <v>77</v>
      </c>
      <c r="H36" s="42">
        <f t="shared" si="1"/>
        <v>77</v>
      </c>
      <c r="I36" s="42">
        <f t="shared" si="1"/>
        <v>77</v>
      </c>
      <c r="J36" s="42">
        <f t="shared" si="1"/>
        <v>77</v>
      </c>
      <c r="K36" s="42">
        <f t="shared" si="1"/>
        <v>77</v>
      </c>
      <c r="L36" s="42">
        <f t="shared" si="1"/>
        <v>77</v>
      </c>
      <c r="M36" s="42">
        <f t="shared" si="1"/>
        <v>77</v>
      </c>
      <c r="N36" s="42">
        <f t="shared" si="1"/>
        <v>77</v>
      </c>
      <c r="O36" s="42">
        <f t="shared" si="1"/>
        <v>77</v>
      </c>
      <c r="P36" s="42">
        <f t="shared" si="1"/>
        <v>77</v>
      </c>
      <c r="Q36" s="42">
        <f t="shared" si="1"/>
        <v>77</v>
      </c>
      <c r="R36" s="42">
        <f t="shared" si="2"/>
        <v>77</v>
      </c>
      <c r="S36" s="42">
        <f t="shared" si="2"/>
        <v>77</v>
      </c>
      <c r="T36" s="42">
        <f t="shared" si="2"/>
        <v>77</v>
      </c>
      <c r="U36" s="42">
        <f t="shared" si="2"/>
        <v>77</v>
      </c>
      <c r="V36" s="42">
        <f t="shared" si="2"/>
        <v>77</v>
      </c>
      <c r="W36" s="42">
        <f t="shared" si="2"/>
        <v>77</v>
      </c>
      <c r="X36" s="42">
        <v>77</v>
      </c>
      <c r="Y36" s="42">
        <v>77</v>
      </c>
      <c r="Z36" s="42">
        <v>77</v>
      </c>
      <c r="AA36" s="42">
        <v>77</v>
      </c>
    </row>
    <row r="37" spans="1:27" ht="13" x14ac:dyDescent="0.3">
      <c r="A37" s="45">
        <v>78</v>
      </c>
      <c r="B37" s="47">
        <f t="shared" si="0"/>
        <v>78</v>
      </c>
      <c r="C37" s="42">
        <f t="shared" si="1"/>
        <v>78</v>
      </c>
      <c r="D37" s="42">
        <f t="shared" si="1"/>
        <v>78</v>
      </c>
      <c r="E37" s="42">
        <f t="shared" si="1"/>
        <v>78</v>
      </c>
      <c r="F37" s="42">
        <f t="shared" si="1"/>
        <v>78</v>
      </c>
      <c r="G37" s="42">
        <f t="shared" si="1"/>
        <v>78</v>
      </c>
      <c r="H37" s="42">
        <f t="shared" si="1"/>
        <v>78</v>
      </c>
      <c r="I37" s="42">
        <f t="shared" si="1"/>
        <v>78</v>
      </c>
      <c r="J37" s="42">
        <f t="shared" si="1"/>
        <v>78</v>
      </c>
      <c r="K37" s="42">
        <f t="shared" si="1"/>
        <v>78</v>
      </c>
      <c r="L37" s="42">
        <f t="shared" si="1"/>
        <v>78</v>
      </c>
      <c r="M37" s="42">
        <f t="shared" si="1"/>
        <v>78</v>
      </c>
      <c r="N37" s="42">
        <f t="shared" si="1"/>
        <v>78</v>
      </c>
      <c r="O37" s="42">
        <f t="shared" si="1"/>
        <v>78</v>
      </c>
      <c r="P37" s="42">
        <f t="shared" si="1"/>
        <v>78</v>
      </c>
      <c r="Q37" s="42">
        <f t="shared" si="1"/>
        <v>78</v>
      </c>
      <c r="R37" s="42">
        <f t="shared" si="2"/>
        <v>78</v>
      </c>
      <c r="S37" s="42">
        <f t="shared" si="2"/>
        <v>78</v>
      </c>
      <c r="T37" s="42">
        <f t="shared" si="2"/>
        <v>78</v>
      </c>
      <c r="U37" s="42">
        <f t="shared" si="2"/>
        <v>78</v>
      </c>
      <c r="V37" s="42">
        <f t="shared" si="2"/>
        <v>78</v>
      </c>
      <c r="W37" s="42">
        <f t="shared" si="2"/>
        <v>78</v>
      </c>
      <c r="X37" s="42">
        <f t="shared" si="2"/>
        <v>78</v>
      </c>
      <c r="Y37" s="42">
        <v>78</v>
      </c>
      <c r="Z37" s="42">
        <v>78</v>
      </c>
      <c r="AA37" s="42">
        <v>78</v>
      </c>
    </row>
    <row r="38" spans="1:27" ht="13" x14ac:dyDescent="0.3">
      <c r="A38" s="45">
        <v>79</v>
      </c>
      <c r="B38" s="47">
        <f t="shared" si="0"/>
        <v>79</v>
      </c>
      <c r="C38" s="42">
        <f t="shared" si="1"/>
        <v>79</v>
      </c>
      <c r="D38" s="42">
        <f t="shared" si="1"/>
        <v>79</v>
      </c>
      <c r="E38" s="42">
        <f t="shared" si="1"/>
        <v>79</v>
      </c>
      <c r="F38" s="42">
        <f t="shared" si="1"/>
        <v>79</v>
      </c>
      <c r="G38" s="42">
        <f t="shared" si="1"/>
        <v>79</v>
      </c>
      <c r="H38" s="42">
        <f t="shared" si="1"/>
        <v>79</v>
      </c>
      <c r="I38" s="42">
        <f t="shared" si="1"/>
        <v>79</v>
      </c>
      <c r="J38" s="42">
        <f t="shared" si="1"/>
        <v>79</v>
      </c>
      <c r="K38" s="42">
        <f t="shared" si="1"/>
        <v>79</v>
      </c>
      <c r="L38" s="42">
        <f t="shared" si="1"/>
        <v>79</v>
      </c>
      <c r="M38" s="42">
        <f t="shared" si="1"/>
        <v>79</v>
      </c>
      <c r="N38" s="42">
        <f t="shared" si="1"/>
        <v>79</v>
      </c>
      <c r="O38" s="42">
        <f t="shared" si="1"/>
        <v>79</v>
      </c>
      <c r="P38" s="42">
        <f t="shared" si="1"/>
        <v>79</v>
      </c>
      <c r="Q38" s="42">
        <f t="shared" si="1"/>
        <v>79</v>
      </c>
      <c r="R38" s="42">
        <f t="shared" si="2"/>
        <v>79</v>
      </c>
      <c r="S38" s="42">
        <f t="shared" si="2"/>
        <v>79</v>
      </c>
      <c r="T38" s="42">
        <f t="shared" si="2"/>
        <v>79</v>
      </c>
      <c r="U38" s="42">
        <f t="shared" si="2"/>
        <v>79</v>
      </c>
      <c r="V38" s="42">
        <f t="shared" si="2"/>
        <v>79</v>
      </c>
      <c r="W38" s="42">
        <f t="shared" si="2"/>
        <v>79</v>
      </c>
      <c r="X38" s="42">
        <f t="shared" si="2"/>
        <v>79</v>
      </c>
      <c r="Y38" s="42">
        <f t="shared" si="2"/>
        <v>79</v>
      </c>
      <c r="Z38" s="42">
        <v>79</v>
      </c>
      <c r="AA38" s="42">
        <v>79</v>
      </c>
    </row>
    <row r="39" spans="1:27" ht="13" x14ac:dyDescent="0.3">
      <c r="A39" s="45">
        <v>80</v>
      </c>
      <c r="B39" s="47">
        <f t="shared" si="0"/>
        <v>80</v>
      </c>
      <c r="C39" s="42">
        <f t="shared" si="1"/>
        <v>80</v>
      </c>
      <c r="D39" s="42">
        <f t="shared" si="1"/>
        <v>80</v>
      </c>
      <c r="E39" s="42">
        <f t="shared" si="1"/>
        <v>80</v>
      </c>
      <c r="F39" s="42">
        <f t="shared" si="1"/>
        <v>80</v>
      </c>
      <c r="G39" s="42">
        <f t="shared" si="1"/>
        <v>80</v>
      </c>
      <c r="H39" s="42">
        <f t="shared" si="1"/>
        <v>80</v>
      </c>
      <c r="I39" s="42">
        <f t="shared" si="1"/>
        <v>80</v>
      </c>
      <c r="J39" s="42">
        <f t="shared" si="1"/>
        <v>80</v>
      </c>
      <c r="K39" s="42">
        <f t="shared" si="1"/>
        <v>80</v>
      </c>
      <c r="L39" s="42">
        <f t="shared" si="1"/>
        <v>80</v>
      </c>
      <c r="M39" s="42">
        <f t="shared" si="1"/>
        <v>80</v>
      </c>
      <c r="N39" s="42">
        <f t="shared" si="1"/>
        <v>80</v>
      </c>
      <c r="O39" s="42">
        <f t="shared" si="1"/>
        <v>80</v>
      </c>
      <c r="P39" s="42">
        <f t="shared" si="1"/>
        <v>80</v>
      </c>
      <c r="Q39" s="42">
        <f>$A39</f>
        <v>80</v>
      </c>
      <c r="R39" s="42">
        <f t="shared" si="2"/>
        <v>80</v>
      </c>
      <c r="S39" s="42">
        <f t="shared" si="2"/>
        <v>80</v>
      </c>
      <c r="T39" s="42">
        <f t="shared" si="2"/>
        <v>80</v>
      </c>
      <c r="U39" s="42">
        <f t="shared" si="2"/>
        <v>80</v>
      </c>
      <c r="V39" s="42">
        <f t="shared" si="2"/>
        <v>80</v>
      </c>
      <c r="W39" s="42">
        <f t="shared" si="2"/>
        <v>80</v>
      </c>
      <c r="X39" s="42">
        <f t="shared" si="2"/>
        <v>80</v>
      </c>
      <c r="Y39" s="42">
        <f t="shared" si="2"/>
        <v>80</v>
      </c>
      <c r="Z39" s="42">
        <f t="shared" si="2"/>
        <v>80</v>
      </c>
      <c r="AA39" s="42">
        <v>80</v>
      </c>
    </row>
  </sheetData>
  <sheetProtection selectLockedCells="1" selectUnlockedCells="1"/>
  <mergeCells count="1">
    <mergeCell ref="B12:AA12"/>
  </mergeCells>
  <hyperlinks>
    <hyperlink ref="B11" r:id="rId1" xr:uid="{00000000-0004-0000-0400-000000000000}"/>
    <hyperlink ref="I11" r:id="rId2" xr:uid="{63D896BD-E12B-4B81-BC88-4F31B82960E7}"/>
  </hyperlinks>
  <pageMargins left="0.7" right="0.7" top="0.75" bottom="0.75" header="0.3" footer="0.3"/>
  <pageSetup scale="65" orientation="landscape"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44878-1B2F-40F7-89A2-45529EC8BF64}">
  <sheetPr codeName="Sheet14">
    <tabColor rgb="FFFF0000"/>
  </sheetPr>
  <dimension ref="A1:X70"/>
  <sheetViews>
    <sheetView zoomScale="120" zoomScaleNormal="120" workbookViewId="0"/>
  </sheetViews>
  <sheetFormatPr defaultColWidth="8.7265625" defaultRowHeight="14" x14ac:dyDescent="0.3"/>
  <cols>
    <col min="1" max="1" width="5.54296875" style="191" customWidth="1"/>
    <col min="2" max="2" width="10.54296875" style="191" customWidth="1"/>
    <col min="3" max="8" width="12.453125" style="191" customWidth="1"/>
    <col min="9" max="9" width="7.54296875" style="191" customWidth="1"/>
    <col min="10" max="20" width="8.7265625" style="191"/>
    <col min="21" max="21" width="9.7265625" style="191" bestFit="1" customWidth="1"/>
    <col min="22" max="22" width="13.26953125" style="191" bestFit="1" customWidth="1"/>
    <col min="23" max="23" width="13.1796875" style="191" bestFit="1" customWidth="1"/>
    <col min="24" max="16384" width="8.7265625" style="191"/>
  </cols>
  <sheetData>
    <row r="1" spans="1:24" ht="29.65" customHeight="1" x14ac:dyDescent="0.3">
      <c r="A1" s="205" t="s">
        <v>134</v>
      </c>
      <c r="C1" s="204"/>
      <c r="D1" s="204"/>
      <c r="E1" s="204"/>
      <c r="F1" s="204"/>
      <c r="G1" s="204"/>
      <c r="I1" s="351" t="s">
        <v>135</v>
      </c>
      <c r="K1" s="400" t="s">
        <v>136</v>
      </c>
      <c r="L1" s="401"/>
      <c r="M1" s="401"/>
      <c r="N1" s="401"/>
      <c r="O1" s="401"/>
      <c r="P1" s="401"/>
      <c r="Q1" s="401"/>
      <c r="R1" s="401"/>
      <c r="S1" s="402"/>
    </row>
    <row r="2" spans="1:24" x14ac:dyDescent="0.3">
      <c r="K2" s="403"/>
      <c r="L2" s="404"/>
      <c r="M2" s="404"/>
      <c r="N2" s="404"/>
      <c r="O2" s="404"/>
      <c r="P2" s="404"/>
      <c r="Q2" s="404"/>
      <c r="R2" s="404"/>
      <c r="S2" s="405"/>
    </row>
    <row r="3" spans="1:24" ht="55.15" customHeight="1" x14ac:dyDescent="0.3">
      <c r="A3" s="398" t="s">
        <v>137</v>
      </c>
      <c r="B3" s="398"/>
      <c r="C3" s="398"/>
      <c r="D3" s="398"/>
      <c r="E3" s="398"/>
      <c r="F3" s="398"/>
      <c r="G3" s="398"/>
      <c r="H3" s="398"/>
      <c r="I3" s="398"/>
      <c r="J3" s="203"/>
      <c r="K3" s="406"/>
      <c r="L3" s="407"/>
      <c r="M3" s="407"/>
      <c r="N3" s="407"/>
      <c r="O3" s="407"/>
      <c r="P3" s="407"/>
      <c r="Q3" s="407"/>
      <c r="R3" s="407"/>
      <c r="S3" s="408"/>
    </row>
    <row r="4" spans="1:24" x14ac:dyDescent="0.3">
      <c r="B4" s="202"/>
      <c r="C4" s="202"/>
      <c r="D4" s="202"/>
      <c r="E4" s="202"/>
      <c r="F4" s="202"/>
      <c r="G4" s="202"/>
      <c r="H4" s="202"/>
    </row>
    <row r="5" spans="1:24" s="198" customFormat="1" ht="27" customHeight="1" x14ac:dyDescent="0.3">
      <c r="B5" s="201">
        <v>2025</v>
      </c>
      <c r="C5" s="313" t="s">
        <v>138</v>
      </c>
      <c r="D5"/>
      <c r="E5"/>
      <c r="F5"/>
      <c r="G5"/>
      <c r="H5"/>
      <c r="T5" s="275" t="s">
        <v>139</v>
      </c>
    </row>
    <row r="6" spans="1:24" s="198" customFormat="1" ht="20.25" customHeight="1" x14ac:dyDescent="0.3">
      <c r="B6" s="200" t="s">
        <v>140</v>
      </c>
      <c r="C6" s="199">
        <f>DATE(B5,12,31)</f>
        <v>46022</v>
      </c>
      <c r="D6"/>
      <c r="E6"/>
      <c r="F6"/>
      <c r="G6"/>
      <c r="H6"/>
      <c r="T6" s="198" t="s">
        <v>98</v>
      </c>
      <c r="U6" s="198" t="s">
        <v>141</v>
      </c>
      <c r="V6" s="198" t="s">
        <v>142</v>
      </c>
      <c r="W6" s="198" t="s">
        <v>143</v>
      </c>
    </row>
    <row r="7" spans="1:24" x14ac:dyDescent="0.3">
      <c r="B7" s="197">
        <v>0.5</v>
      </c>
      <c r="C7" s="299">
        <v>4.2099999999999999E-2</v>
      </c>
      <c r="D7"/>
      <c r="E7"/>
      <c r="F7"/>
      <c r="G7"/>
      <c r="H7"/>
      <c r="J7" s="223"/>
      <c r="K7" s="224" t="s">
        <v>144</v>
      </c>
      <c r="L7" s="225"/>
      <c r="M7" s="225"/>
      <c r="N7" s="225"/>
      <c r="O7" s="226"/>
      <c r="P7" s="223"/>
      <c r="T7" s="191">
        <v>0</v>
      </c>
      <c r="U7" s="276">
        <v>0</v>
      </c>
      <c r="V7" s="276">
        <v>1</v>
      </c>
    </row>
    <row r="8" spans="1:24" x14ac:dyDescent="0.3">
      <c r="B8" s="196">
        <f t="shared" ref="B8:B39" si="0">B7+0.5</f>
        <v>1</v>
      </c>
      <c r="C8" s="299">
        <v>4.2200000000000001E-2</v>
      </c>
      <c r="D8"/>
      <c r="E8"/>
      <c r="F8"/>
      <c r="G8"/>
      <c r="H8"/>
      <c r="K8" s="227" t="s">
        <v>145</v>
      </c>
      <c r="L8" s="228"/>
      <c r="M8" s="228"/>
      <c r="N8" s="228"/>
      <c r="O8" s="229"/>
      <c r="P8" s="223"/>
      <c r="Q8" s="223"/>
      <c r="T8" s="191">
        <v>1</v>
      </c>
      <c r="U8" s="276">
        <f t="shared" ref="U8:U38" si="1">VLOOKUP(T8-0.5,$B$7:$C$66,2)</f>
        <v>4.2099999999999999E-2</v>
      </c>
      <c r="V8" s="276">
        <f>(1+U8)^T8</f>
        <v>1.0421</v>
      </c>
      <c r="W8" s="276">
        <f>V8/V7-1</f>
        <v>4.2100000000000026E-2</v>
      </c>
      <c r="X8" s="191">
        <v>1</v>
      </c>
    </row>
    <row r="9" spans="1:24" ht="14.25" customHeight="1" x14ac:dyDescent="0.3">
      <c r="B9" s="196">
        <f t="shared" si="0"/>
        <v>1.5</v>
      </c>
      <c r="C9" s="299">
        <v>4.2300000000000004E-2</v>
      </c>
      <c r="D9"/>
      <c r="E9"/>
      <c r="F9"/>
      <c r="G9"/>
      <c r="H9"/>
      <c r="K9" s="223"/>
      <c r="L9" s="223"/>
      <c r="M9" s="223"/>
      <c r="N9" s="223"/>
      <c r="O9" s="223"/>
      <c r="P9" s="223"/>
      <c r="Q9" s="223"/>
      <c r="T9" s="191">
        <f>T8+1</f>
        <v>2</v>
      </c>
      <c r="U9" s="276">
        <f t="shared" si="1"/>
        <v>4.2300000000000004E-2</v>
      </c>
      <c r="V9" s="276">
        <f t="shared" ref="V9:V37" si="2">(1+U9)^T9</f>
        <v>1.0863892900000001</v>
      </c>
      <c r="W9" s="276">
        <f t="shared" ref="W9:W38" si="3">V9/V8-1</f>
        <v>4.2500038384032379E-2</v>
      </c>
      <c r="X9" s="191">
        <v>1</v>
      </c>
    </row>
    <row r="10" spans="1:24" x14ac:dyDescent="0.3">
      <c r="B10" s="196">
        <f t="shared" si="0"/>
        <v>2</v>
      </c>
      <c r="C10" s="299">
        <v>4.2599999999999999E-2</v>
      </c>
      <c r="D10"/>
      <c r="E10"/>
      <c r="F10"/>
      <c r="G10"/>
      <c r="H10"/>
      <c r="K10" s="223"/>
      <c r="L10" s="223"/>
      <c r="M10" s="223"/>
      <c r="N10" s="223"/>
      <c r="O10" s="223"/>
      <c r="P10" s="223"/>
      <c r="Q10" s="223"/>
      <c r="T10" s="191">
        <f t="shared" ref="T10:T32" si="4">T9+1</f>
        <v>3</v>
      </c>
      <c r="U10" s="276">
        <f t="shared" si="1"/>
        <v>4.3000000000000003E-2</v>
      </c>
      <c r="V10" s="276">
        <f t="shared" si="2"/>
        <v>1.1346265069999997</v>
      </c>
      <c r="W10" s="276">
        <f t="shared" si="3"/>
        <v>4.4401410658236218E-2</v>
      </c>
      <c r="X10" s="191">
        <v>1</v>
      </c>
    </row>
    <row r="11" spans="1:24" x14ac:dyDescent="0.3">
      <c r="B11" s="196">
        <f t="shared" si="0"/>
        <v>2.5</v>
      </c>
      <c r="C11" s="299">
        <v>4.3000000000000003E-2</v>
      </c>
      <c r="D11"/>
      <c r="E11"/>
      <c r="F11"/>
      <c r="G11"/>
      <c r="H11"/>
      <c r="K11" s="301" t="s">
        <v>146</v>
      </c>
      <c r="L11" s="302"/>
      <c r="M11" s="302"/>
      <c r="N11" s="302"/>
      <c r="O11" s="303"/>
      <c r="P11" s="223"/>
      <c r="Q11" s="223"/>
      <c r="T11" s="191">
        <f t="shared" si="4"/>
        <v>4</v>
      </c>
      <c r="U11" s="276">
        <f t="shared" si="1"/>
        <v>4.3799999999999999E-2</v>
      </c>
      <c r="V11" s="276">
        <f t="shared" si="2"/>
        <v>1.1870504311000341</v>
      </c>
      <c r="W11" s="276">
        <f t="shared" si="3"/>
        <v>4.6203683570416043E-2</v>
      </c>
      <c r="X11" s="191">
        <v>1</v>
      </c>
    </row>
    <row r="12" spans="1:24" x14ac:dyDescent="0.3">
      <c r="B12" s="196">
        <f t="shared" si="0"/>
        <v>3</v>
      </c>
      <c r="C12" s="299">
        <v>4.3400000000000001E-2</v>
      </c>
      <c r="D12"/>
      <c r="E12"/>
      <c r="F12"/>
      <c r="G12"/>
      <c r="H12"/>
      <c r="K12" s="304" t="s">
        <v>134</v>
      </c>
      <c r="L12" s="305"/>
      <c r="M12" s="305"/>
      <c r="N12" s="305"/>
      <c r="O12" s="306"/>
      <c r="T12" s="191">
        <f t="shared" si="4"/>
        <v>5</v>
      </c>
      <c r="U12" s="276">
        <f t="shared" si="1"/>
        <v>4.4900000000000002E-2</v>
      </c>
      <c r="V12" s="276">
        <f t="shared" si="2"/>
        <v>1.2455857924585048</v>
      </c>
      <c r="W12" s="276">
        <f t="shared" si="3"/>
        <v>4.9311604481897531E-2</v>
      </c>
      <c r="X12" s="191">
        <v>1</v>
      </c>
    </row>
    <row r="13" spans="1:24" ht="14.5" x14ac:dyDescent="0.35">
      <c r="B13" s="196">
        <f t="shared" si="0"/>
        <v>3.5</v>
      </c>
      <c r="C13" s="299">
        <v>4.3799999999999999E-2</v>
      </c>
      <c r="D13"/>
      <c r="E13"/>
      <c r="F13"/>
      <c r="G13"/>
      <c r="H13"/>
      <c r="K13" s="344" t="s">
        <v>147</v>
      </c>
      <c r="L13" s="210"/>
      <c r="T13" s="191">
        <f t="shared" si="4"/>
        <v>6</v>
      </c>
      <c r="U13" s="276">
        <f t="shared" si="1"/>
        <v>4.5999999999999999E-2</v>
      </c>
      <c r="V13" s="276">
        <f t="shared" si="2"/>
        <v>1.3097551270921532</v>
      </c>
      <c r="W13" s="276">
        <f t="shared" si="3"/>
        <v>5.1517394483918011E-2</v>
      </c>
      <c r="X13" s="191">
        <v>1</v>
      </c>
    </row>
    <row r="14" spans="1:24" x14ac:dyDescent="0.3">
      <c r="B14" s="196">
        <f t="shared" si="0"/>
        <v>4</v>
      </c>
      <c r="C14" s="299">
        <v>4.4400000000000002E-2</v>
      </c>
      <c r="D14"/>
      <c r="E14"/>
      <c r="F14"/>
      <c r="G14"/>
      <c r="H14"/>
      <c r="T14" s="191">
        <f t="shared" si="4"/>
        <v>7</v>
      </c>
      <c r="U14" s="276">
        <f t="shared" si="1"/>
        <v>4.7199999999999999E-2</v>
      </c>
      <c r="V14" s="276">
        <f t="shared" si="2"/>
        <v>1.3810437436851</v>
      </c>
      <c r="W14" s="276">
        <f t="shared" si="3"/>
        <v>5.4428965474804247E-2</v>
      </c>
      <c r="X14" s="191">
        <v>1</v>
      </c>
    </row>
    <row r="15" spans="1:24" x14ac:dyDescent="0.3">
      <c r="B15" s="196">
        <f t="shared" si="0"/>
        <v>4.5</v>
      </c>
      <c r="C15" s="299">
        <v>4.4900000000000002E-2</v>
      </c>
      <c r="D15"/>
      <c r="E15"/>
      <c r="F15"/>
      <c r="G15"/>
      <c r="H15"/>
      <c r="T15" s="191">
        <f t="shared" si="4"/>
        <v>8</v>
      </c>
      <c r="U15" s="276">
        <f t="shared" si="1"/>
        <v>4.8399999999999999E-2</v>
      </c>
      <c r="V15" s="276">
        <f t="shared" si="2"/>
        <v>1.4595403242431595</v>
      </c>
      <c r="W15" s="276">
        <f t="shared" si="3"/>
        <v>5.6838591041731723E-2</v>
      </c>
      <c r="X15" s="191">
        <v>1</v>
      </c>
    </row>
    <row r="16" spans="1:24" x14ac:dyDescent="0.3">
      <c r="B16" s="196">
        <f t="shared" si="0"/>
        <v>5</v>
      </c>
      <c r="C16" s="299">
        <v>4.5500000000000006E-2</v>
      </c>
      <c r="D16"/>
      <c r="E16"/>
      <c r="F16"/>
      <c r="G16"/>
      <c r="H16"/>
      <c r="T16" s="191">
        <f t="shared" si="4"/>
        <v>9</v>
      </c>
      <c r="U16" s="276">
        <f t="shared" si="1"/>
        <v>4.9500000000000002E-2</v>
      </c>
      <c r="V16" s="276">
        <f t="shared" si="2"/>
        <v>1.5446923163243125</v>
      </c>
      <c r="W16" s="276">
        <f t="shared" si="3"/>
        <v>5.8341650906636122E-2</v>
      </c>
      <c r="X16" s="191">
        <v>1</v>
      </c>
    </row>
    <row r="17" spans="2:24" x14ac:dyDescent="0.3">
      <c r="B17" s="196">
        <f t="shared" si="0"/>
        <v>5.5</v>
      </c>
      <c r="C17" s="299">
        <v>4.5999999999999999E-2</v>
      </c>
      <c r="D17"/>
      <c r="E17"/>
      <c r="F17"/>
      <c r="G17"/>
      <c r="H17"/>
      <c r="T17" s="191">
        <f t="shared" si="4"/>
        <v>10</v>
      </c>
      <c r="U17" s="276">
        <f t="shared" si="1"/>
        <v>5.0500000000000003E-2</v>
      </c>
      <c r="V17" s="276">
        <f t="shared" si="2"/>
        <v>1.6366679103551822</v>
      </c>
      <c r="W17" s="276">
        <f t="shared" si="3"/>
        <v>5.9542986689887334E-2</v>
      </c>
      <c r="X17" s="191">
        <v>1</v>
      </c>
    </row>
    <row r="18" spans="2:24" x14ac:dyDescent="0.3">
      <c r="B18" s="196">
        <f t="shared" si="0"/>
        <v>6</v>
      </c>
      <c r="C18" s="299">
        <v>4.6699999999999998E-2</v>
      </c>
      <c r="D18"/>
      <c r="E18"/>
      <c r="F18"/>
      <c r="G18"/>
      <c r="H18"/>
      <c r="L18" s="210"/>
      <c r="T18" s="191">
        <f t="shared" si="4"/>
        <v>11</v>
      </c>
      <c r="U18" s="276">
        <f t="shared" si="1"/>
        <v>5.1400000000000001E-2</v>
      </c>
      <c r="V18" s="276">
        <f t="shared" si="2"/>
        <v>1.7355922392702525</v>
      </c>
      <c r="W18" s="276">
        <f t="shared" si="3"/>
        <v>6.0442517562162124E-2</v>
      </c>
      <c r="X18" s="191">
        <v>1</v>
      </c>
    </row>
    <row r="19" spans="2:24" x14ac:dyDescent="0.3">
      <c r="B19" s="196">
        <f t="shared" si="0"/>
        <v>6.5</v>
      </c>
      <c r="C19" s="299">
        <v>4.7199999999999999E-2</v>
      </c>
      <c r="D19"/>
      <c r="E19"/>
      <c r="F19"/>
      <c r="G19"/>
      <c r="H19"/>
      <c r="L19" s="210"/>
      <c r="T19" s="191">
        <f t="shared" si="4"/>
        <v>12</v>
      </c>
      <c r="U19" s="276">
        <f t="shared" si="1"/>
        <v>5.2200000000000003E-2</v>
      </c>
      <c r="V19" s="276">
        <f t="shared" si="2"/>
        <v>1.8415332704450655</v>
      </c>
      <c r="W19" s="276">
        <f t="shared" si="3"/>
        <v>6.1040277075309568E-2</v>
      </c>
      <c r="X19" s="191">
        <v>1</v>
      </c>
    </row>
    <row r="20" spans="2:24" x14ac:dyDescent="0.3">
      <c r="B20" s="196">
        <f t="shared" si="0"/>
        <v>7</v>
      </c>
      <c r="C20" s="299">
        <v>4.7899999999999998E-2</v>
      </c>
      <c r="D20"/>
      <c r="E20"/>
      <c r="F20"/>
      <c r="G20"/>
      <c r="H20"/>
      <c r="L20" s="210"/>
      <c r="T20" s="191">
        <f t="shared" si="4"/>
        <v>13</v>
      </c>
      <c r="U20" s="276">
        <f t="shared" si="1"/>
        <v>5.2999999999999999E-2</v>
      </c>
      <c r="V20" s="276">
        <f t="shared" si="2"/>
        <v>1.9569008659008029</v>
      </c>
      <c r="W20" s="276">
        <f t="shared" si="3"/>
        <v>6.2647575966876312E-2</v>
      </c>
      <c r="X20" s="191">
        <v>1</v>
      </c>
    </row>
    <row r="21" spans="2:24" x14ac:dyDescent="0.3">
      <c r="B21" s="196">
        <f t="shared" si="0"/>
        <v>7.5</v>
      </c>
      <c r="C21" s="299">
        <v>4.8399999999999999E-2</v>
      </c>
      <c r="D21"/>
      <c r="E21"/>
      <c r="F21"/>
      <c r="G21"/>
      <c r="H21"/>
      <c r="L21" s="210"/>
      <c r="T21" s="191">
        <f t="shared" si="4"/>
        <v>14</v>
      </c>
      <c r="U21" s="276">
        <f t="shared" si="1"/>
        <v>5.3800000000000001E-2</v>
      </c>
      <c r="V21" s="276">
        <f t="shared" si="2"/>
        <v>2.0826424646240556</v>
      </c>
      <c r="W21" s="276">
        <f t="shared" si="3"/>
        <v>6.4255477073117406E-2</v>
      </c>
      <c r="X21" s="191">
        <v>1</v>
      </c>
    </row>
    <row r="22" spans="2:24" x14ac:dyDescent="0.3">
      <c r="B22" s="196">
        <f t="shared" si="0"/>
        <v>8</v>
      </c>
      <c r="C22" s="299">
        <v>4.8999999999999995E-2</v>
      </c>
      <c r="D22"/>
      <c r="E22"/>
      <c r="F22"/>
      <c r="G22"/>
      <c r="H22"/>
      <c r="L22" s="210"/>
      <c r="T22" s="191">
        <f t="shared" si="4"/>
        <v>15</v>
      </c>
      <c r="U22" s="276">
        <f t="shared" si="1"/>
        <v>5.4300000000000001E-2</v>
      </c>
      <c r="V22" s="276">
        <f t="shared" si="2"/>
        <v>2.210360432833494</v>
      </c>
      <c r="W22" s="276">
        <f t="shared" si="3"/>
        <v>6.1324961138969902E-2</v>
      </c>
      <c r="X22" s="191">
        <v>1</v>
      </c>
    </row>
    <row r="23" spans="2:24" x14ac:dyDescent="0.3">
      <c r="B23" s="196">
        <f t="shared" si="0"/>
        <v>8.5</v>
      </c>
      <c r="C23" s="299">
        <v>4.9500000000000002E-2</v>
      </c>
      <c r="D23"/>
      <c r="E23"/>
      <c r="F23"/>
      <c r="G23"/>
      <c r="H23"/>
      <c r="L23" s="210"/>
      <c r="T23" s="191">
        <f t="shared" si="4"/>
        <v>16</v>
      </c>
      <c r="U23" s="276">
        <f t="shared" si="1"/>
        <v>5.5E-2</v>
      </c>
      <c r="V23" s="276">
        <f t="shared" si="2"/>
        <v>2.3552626993110368</v>
      </c>
      <c r="W23" s="276">
        <f t="shared" si="3"/>
        <v>6.5555944779463138E-2</v>
      </c>
      <c r="X23" s="191">
        <v>1</v>
      </c>
    </row>
    <row r="24" spans="2:24" x14ac:dyDescent="0.3">
      <c r="B24" s="196">
        <f t="shared" si="0"/>
        <v>9</v>
      </c>
      <c r="C24" s="299">
        <v>5.0099999999999999E-2</v>
      </c>
      <c r="D24"/>
      <c r="E24"/>
      <c r="F24"/>
      <c r="G24"/>
      <c r="H24"/>
      <c r="L24" s="210"/>
      <c r="T24" s="191">
        <f t="shared" si="4"/>
        <v>17</v>
      </c>
      <c r="U24" s="276">
        <f t="shared" si="1"/>
        <v>5.5499999999999994E-2</v>
      </c>
      <c r="V24" s="276">
        <f t="shared" si="2"/>
        <v>2.5048979650845227</v>
      </c>
      <c r="W24" s="276">
        <f t="shared" si="3"/>
        <v>6.3532303983439897E-2</v>
      </c>
      <c r="X24" s="191">
        <v>1</v>
      </c>
    </row>
    <row r="25" spans="2:24" x14ac:dyDescent="0.3">
      <c r="B25" s="196">
        <f t="shared" si="0"/>
        <v>9.5</v>
      </c>
      <c r="C25" s="299">
        <v>5.0500000000000003E-2</v>
      </c>
      <c r="D25"/>
      <c r="E25"/>
      <c r="F25"/>
      <c r="G25"/>
      <c r="H25"/>
      <c r="L25" s="210"/>
      <c r="T25" s="191">
        <f t="shared" si="4"/>
        <v>18</v>
      </c>
      <c r="U25" s="276">
        <f t="shared" si="1"/>
        <v>5.5900000000000005E-2</v>
      </c>
      <c r="V25" s="276">
        <f t="shared" si="2"/>
        <v>2.6620132806793908</v>
      </c>
      <c r="W25" s="276">
        <f t="shared" si="3"/>
        <v>6.2723239742648262E-2</v>
      </c>
      <c r="X25" s="191">
        <v>1</v>
      </c>
    </row>
    <row r="26" spans="2:24" x14ac:dyDescent="0.3">
      <c r="B26" s="196">
        <f t="shared" si="0"/>
        <v>10</v>
      </c>
      <c r="C26" s="299">
        <v>5.1000000000000004E-2</v>
      </c>
      <c r="D26"/>
      <c r="E26"/>
      <c r="F26"/>
      <c r="G26"/>
      <c r="H26"/>
      <c r="L26" s="210"/>
      <c r="T26" s="191">
        <f t="shared" si="4"/>
        <v>19</v>
      </c>
      <c r="U26" s="276">
        <f t="shared" si="1"/>
        <v>5.6300000000000003E-2</v>
      </c>
      <c r="V26" s="276">
        <f t="shared" si="2"/>
        <v>2.8311202491735932</v>
      </c>
      <c r="W26" s="276">
        <f t="shared" si="3"/>
        <v>6.3525967252516358E-2</v>
      </c>
      <c r="X26" s="191">
        <v>1</v>
      </c>
    </row>
    <row r="27" spans="2:24" x14ac:dyDescent="0.3">
      <c r="B27" s="196">
        <f t="shared" si="0"/>
        <v>10.5</v>
      </c>
      <c r="C27" s="299">
        <v>5.1400000000000001E-2</v>
      </c>
      <c r="D27"/>
      <c r="E27"/>
      <c r="F27"/>
      <c r="G27"/>
      <c r="H27"/>
      <c r="L27" s="210"/>
      <c r="T27" s="191">
        <f t="shared" si="4"/>
        <v>20</v>
      </c>
      <c r="U27" s="276">
        <f t="shared" si="1"/>
        <v>5.6599999999999998E-2</v>
      </c>
      <c r="V27" s="276">
        <f t="shared" si="2"/>
        <v>3.0075449507162428</v>
      </c>
      <c r="W27" s="276">
        <f t="shared" si="3"/>
        <v>6.2316216202454866E-2</v>
      </c>
      <c r="X27" s="191">
        <v>1</v>
      </c>
    </row>
    <row r="28" spans="2:24" x14ac:dyDescent="0.3">
      <c r="B28" s="196">
        <f t="shared" si="0"/>
        <v>11</v>
      </c>
      <c r="C28" s="299">
        <v>5.1900000000000002E-2</v>
      </c>
      <c r="D28"/>
      <c r="E28"/>
      <c r="F28"/>
      <c r="G28"/>
      <c r="H28"/>
      <c r="L28" s="210"/>
      <c r="T28" s="191">
        <f t="shared" si="4"/>
        <v>21</v>
      </c>
      <c r="U28" s="276">
        <f t="shared" si="1"/>
        <v>5.6799999999999996E-2</v>
      </c>
      <c r="V28" s="276">
        <f t="shared" si="2"/>
        <v>3.1904276224756924</v>
      </c>
      <c r="W28" s="276">
        <f t="shared" si="3"/>
        <v>6.080795956712004E-2</v>
      </c>
      <c r="X28" s="191">
        <v>1</v>
      </c>
    </row>
    <row r="29" spans="2:24" x14ac:dyDescent="0.3">
      <c r="B29" s="196">
        <f t="shared" si="0"/>
        <v>11.5</v>
      </c>
      <c r="C29" s="299">
        <v>5.2200000000000003E-2</v>
      </c>
      <c r="D29"/>
      <c r="E29"/>
      <c r="F29"/>
      <c r="G29"/>
      <c r="H29"/>
      <c r="L29" s="210"/>
      <c r="T29" s="191">
        <f t="shared" si="4"/>
        <v>22</v>
      </c>
      <c r="U29" s="276">
        <f t="shared" si="1"/>
        <v>5.6899999999999999E-2</v>
      </c>
      <c r="V29" s="276">
        <f t="shared" si="2"/>
        <v>3.3786698303802956</v>
      </c>
      <c r="W29" s="276">
        <f t="shared" si="3"/>
        <v>5.9002187223583524E-2</v>
      </c>
      <c r="X29" s="191">
        <v>1</v>
      </c>
    </row>
    <row r="30" spans="2:24" x14ac:dyDescent="0.3">
      <c r="B30" s="196">
        <f t="shared" si="0"/>
        <v>12</v>
      </c>
      <c r="C30" s="299">
        <v>5.2699999999999997E-2</v>
      </c>
      <c r="D30"/>
      <c r="E30"/>
      <c r="F30"/>
      <c r="G30"/>
      <c r="H30"/>
      <c r="L30" s="210"/>
      <c r="T30" s="191">
        <f t="shared" si="4"/>
        <v>23</v>
      </c>
      <c r="U30" s="276">
        <f t="shared" si="1"/>
        <v>5.7000000000000002E-2</v>
      </c>
      <c r="V30" s="276">
        <f t="shared" si="2"/>
        <v>3.5786951775347977</v>
      </c>
      <c r="W30" s="276">
        <f t="shared" si="3"/>
        <v>5.920239537936367E-2</v>
      </c>
      <c r="X30" s="191">
        <v>1</v>
      </c>
    </row>
    <row r="31" spans="2:24" x14ac:dyDescent="0.3">
      <c r="B31" s="196">
        <f t="shared" si="0"/>
        <v>12.5</v>
      </c>
      <c r="C31" s="299">
        <v>5.2999999999999999E-2</v>
      </c>
      <c r="D31"/>
      <c r="E31"/>
      <c r="F31"/>
      <c r="G31"/>
      <c r="H31"/>
      <c r="L31" s="210"/>
      <c r="T31" s="191">
        <f t="shared" si="4"/>
        <v>24</v>
      </c>
      <c r="U31" s="276">
        <f t="shared" si="1"/>
        <v>5.7000000000000002E-2</v>
      </c>
      <c r="V31" s="276">
        <f t="shared" si="2"/>
        <v>3.7826808026542817</v>
      </c>
      <c r="W31" s="276">
        <f t="shared" si="3"/>
        <v>5.7000000000000162E-2</v>
      </c>
      <c r="X31" s="191">
        <v>1</v>
      </c>
    </row>
    <row r="32" spans="2:24" x14ac:dyDescent="0.3">
      <c r="B32" s="196">
        <f t="shared" si="0"/>
        <v>13</v>
      </c>
      <c r="C32" s="299">
        <v>5.3499999999999999E-2</v>
      </c>
      <c r="D32"/>
      <c r="E32"/>
      <c r="F32"/>
      <c r="G32"/>
      <c r="H32"/>
      <c r="L32" s="210"/>
      <c r="T32" s="191">
        <f t="shared" si="4"/>
        <v>25</v>
      </c>
      <c r="U32" s="276">
        <f t="shared" si="1"/>
        <v>5.7000000000000002E-2</v>
      </c>
      <c r="V32" s="276">
        <f t="shared" si="2"/>
        <v>3.9982936084055756</v>
      </c>
      <c r="W32" s="276">
        <f t="shared" si="3"/>
        <v>5.699999999999994E-2</v>
      </c>
      <c r="X32" s="191">
        <v>1</v>
      </c>
    </row>
    <row r="33" spans="2:24" x14ac:dyDescent="0.3">
      <c r="B33" s="196">
        <f t="shared" si="0"/>
        <v>13.5</v>
      </c>
      <c r="C33" s="299">
        <v>5.3800000000000001E-2</v>
      </c>
      <c r="D33"/>
      <c r="E33"/>
      <c r="F33"/>
      <c r="G33"/>
      <c r="H33"/>
      <c r="L33" s="210"/>
      <c r="T33" s="191">
        <f t="shared" ref="T33:T38" si="5">T32+1</f>
        <v>26</v>
      </c>
      <c r="U33" s="276">
        <f t="shared" si="1"/>
        <v>5.7000000000000002E-2</v>
      </c>
      <c r="V33" s="276">
        <f t="shared" si="2"/>
        <v>4.226196344084693</v>
      </c>
      <c r="W33" s="276">
        <f t="shared" si="3"/>
        <v>5.699999999999994E-2</v>
      </c>
      <c r="X33" s="191">
        <v>1</v>
      </c>
    </row>
    <row r="34" spans="2:24" x14ac:dyDescent="0.3">
      <c r="B34" s="196">
        <f t="shared" si="0"/>
        <v>14</v>
      </c>
      <c r="C34" s="299">
        <v>5.4200000000000005E-2</v>
      </c>
      <c r="D34"/>
      <c r="E34"/>
      <c r="F34"/>
      <c r="G34"/>
      <c r="H34"/>
      <c r="L34" s="210"/>
      <c r="T34" s="191">
        <f t="shared" si="5"/>
        <v>27</v>
      </c>
      <c r="U34" s="276">
        <f t="shared" si="1"/>
        <v>5.7099999999999998E-2</v>
      </c>
      <c r="V34" s="276">
        <f t="shared" si="2"/>
        <v>4.4785143109077312</v>
      </c>
      <c r="W34" s="276">
        <f t="shared" si="3"/>
        <v>5.9703323338538672E-2</v>
      </c>
      <c r="X34" s="191">
        <v>1</v>
      </c>
    </row>
    <row r="35" spans="2:24" x14ac:dyDescent="0.3">
      <c r="B35" s="196">
        <f t="shared" si="0"/>
        <v>14.5</v>
      </c>
      <c r="C35" s="299">
        <v>5.4300000000000001E-2</v>
      </c>
      <c r="D35"/>
      <c r="E35"/>
      <c r="F35"/>
      <c r="G35"/>
      <c r="H35"/>
      <c r="L35" s="210"/>
      <c r="T35" s="191">
        <f t="shared" si="5"/>
        <v>28</v>
      </c>
      <c r="U35" s="276">
        <f t="shared" si="1"/>
        <v>5.7099999999999998E-2</v>
      </c>
      <c r="V35" s="276">
        <f t="shared" si="2"/>
        <v>4.7342374780605629</v>
      </c>
      <c r="W35" s="276">
        <f t="shared" si="3"/>
        <v>5.7100000000000151E-2</v>
      </c>
      <c r="X35" s="191">
        <v>1</v>
      </c>
    </row>
    <row r="36" spans="2:24" x14ac:dyDescent="0.3">
      <c r="B36" s="196">
        <f t="shared" si="0"/>
        <v>15</v>
      </c>
      <c r="C36" s="299">
        <v>5.4800000000000001E-2</v>
      </c>
      <c r="D36"/>
      <c r="E36"/>
      <c r="F36"/>
      <c r="G36"/>
      <c r="H36"/>
      <c r="L36" s="210"/>
      <c r="T36" s="191">
        <f t="shared" si="5"/>
        <v>29</v>
      </c>
      <c r="U36" s="276">
        <f t="shared" si="1"/>
        <v>5.7100000000000005E-2</v>
      </c>
      <c r="V36" s="276">
        <f t="shared" si="2"/>
        <v>5.0045624380578211</v>
      </c>
      <c r="W36" s="276">
        <f t="shared" si="3"/>
        <v>5.7099999999999929E-2</v>
      </c>
      <c r="X36" s="191">
        <v>1</v>
      </c>
    </row>
    <row r="37" spans="2:24" x14ac:dyDescent="0.3">
      <c r="B37" s="196">
        <f t="shared" si="0"/>
        <v>15.5</v>
      </c>
      <c r="C37" s="299">
        <v>5.5E-2</v>
      </c>
      <c r="D37"/>
      <c r="E37"/>
      <c r="F37"/>
      <c r="G37"/>
      <c r="H37"/>
      <c r="L37" s="210"/>
      <c r="T37" s="191">
        <f t="shared" si="5"/>
        <v>30</v>
      </c>
      <c r="U37" s="276">
        <f t="shared" si="1"/>
        <v>5.7300000000000004E-2</v>
      </c>
      <c r="V37" s="276">
        <f t="shared" si="2"/>
        <v>5.3204328492794746</v>
      </c>
      <c r="W37" s="276">
        <f t="shared" si="3"/>
        <v>6.3116489229823047E-2</v>
      </c>
      <c r="X37" s="191">
        <v>1</v>
      </c>
    </row>
    <row r="38" spans="2:24" x14ac:dyDescent="0.3">
      <c r="B38" s="196">
        <f t="shared" si="0"/>
        <v>16</v>
      </c>
      <c r="C38" s="299">
        <v>5.5300000000000002E-2</v>
      </c>
      <c r="D38"/>
      <c r="E38"/>
      <c r="F38"/>
      <c r="G38"/>
      <c r="H38"/>
      <c r="L38" s="210"/>
      <c r="T38" s="191">
        <f t="shared" si="5"/>
        <v>31</v>
      </c>
      <c r="U38" s="276">
        <f t="shared" si="1"/>
        <v>5.7300000000000004E-2</v>
      </c>
      <c r="V38" s="276">
        <f>(1+U38)^T38</f>
        <v>5.6252936515431893</v>
      </c>
      <c r="W38" s="276">
        <f t="shared" si="3"/>
        <v>5.7300000000000129E-2</v>
      </c>
      <c r="X38" s="191">
        <v>999</v>
      </c>
    </row>
    <row r="39" spans="2:24" x14ac:dyDescent="0.3">
      <c r="B39" s="196">
        <f t="shared" si="0"/>
        <v>16.5</v>
      </c>
      <c r="C39" s="299">
        <v>5.5499999999999994E-2</v>
      </c>
      <c r="D39"/>
      <c r="E39"/>
      <c r="F39"/>
      <c r="G39"/>
      <c r="H39"/>
      <c r="L39" s="210"/>
    </row>
    <row r="40" spans="2:24" x14ac:dyDescent="0.3">
      <c r="B40" s="196">
        <f t="shared" ref="B40:B65" si="6">B39+0.5</f>
        <v>17</v>
      </c>
      <c r="C40" s="299">
        <v>5.5900000000000005E-2</v>
      </c>
      <c r="D40"/>
      <c r="E40"/>
      <c r="F40"/>
      <c r="G40"/>
      <c r="H40"/>
    </row>
    <row r="41" spans="2:24" x14ac:dyDescent="0.3">
      <c r="B41" s="196">
        <f t="shared" si="6"/>
        <v>17.5</v>
      </c>
      <c r="C41" s="299">
        <v>5.5900000000000005E-2</v>
      </c>
      <c r="D41"/>
      <c r="E41"/>
      <c r="F41"/>
      <c r="G41"/>
      <c r="H41"/>
    </row>
    <row r="42" spans="2:24" x14ac:dyDescent="0.3">
      <c r="B42" s="196">
        <f t="shared" si="6"/>
        <v>18</v>
      </c>
      <c r="C42" s="299">
        <v>5.62E-2</v>
      </c>
      <c r="D42"/>
      <c r="E42"/>
      <c r="F42"/>
      <c r="G42"/>
      <c r="H42"/>
    </row>
    <row r="43" spans="2:24" x14ac:dyDescent="0.3">
      <c r="B43" s="196">
        <f t="shared" si="6"/>
        <v>18.5</v>
      </c>
      <c r="C43" s="299">
        <v>5.6300000000000003E-2</v>
      </c>
      <c r="D43"/>
      <c r="E43"/>
      <c r="F43"/>
      <c r="G43"/>
      <c r="H43"/>
    </row>
    <row r="44" spans="2:24" x14ac:dyDescent="0.3">
      <c r="B44" s="196">
        <f t="shared" si="6"/>
        <v>19</v>
      </c>
      <c r="C44" s="299">
        <v>5.6500000000000002E-2</v>
      </c>
      <c r="D44"/>
      <c r="E44"/>
      <c r="F44"/>
      <c r="G44"/>
      <c r="H44"/>
    </row>
    <row r="45" spans="2:24" x14ac:dyDescent="0.3">
      <c r="B45" s="196">
        <f t="shared" si="6"/>
        <v>19.5</v>
      </c>
      <c r="C45" s="299">
        <v>5.6599999999999998E-2</v>
      </c>
      <c r="D45"/>
      <c r="E45"/>
      <c r="F45"/>
      <c r="G45"/>
      <c r="H45"/>
    </row>
    <row r="46" spans="2:24" x14ac:dyDescent="0.3">
      <c r="B46" s="196">
        <f t="shared" si="6"/>
        <v>20</v>
      </c>
      <c r="C46" s="299">
        <v>5.6799999999999996E-2</v>
      </c>
      <c r="D46"/>
      <c r="E46"/>
      <c r="F46"/>
      <c r="G46"/>
      <c r="H46"/>
    </row>
    <row r="47" spans="2:24" x14ac:dyDescent="0.3">
      <c r="B47" s="196">
        <f t="shared" si="6"/>
        <v>20.5</v>
      </c>
      <c r="C47" s="299">
        <v>5.6799999999999996E-2</v>
      </c>
      <c r="D47"/>
      <c r="E47"/>
      <c r="F47"/>
      <c r="G47"/>
      <c r="H47"/>
    </row>
    <row r="48" spans="2:24" x14ac:dyDescent="0.3">
      <c r="B48" s="196">
        <f t="shared" si="6"/>
        <v>21</v>
      </c>
      <c r="C48" s="299">
        <v>5.6899999999999999E-2</v>
      </c>
      <c r="D48"/>
      <c r="E48"/>
      <c r="F48"/>
      <c r="G48"/>
      <c r="H48"/>
    </row>
    <row r="49" spans="2:8" x14ac:dyDescent="0.3">
      <c r="B49" s="196">
        <f t="shared" si="6"/>
        <v>21.5</v>
      </c>
      <c r="C49" s="299">
        <v>5.6899999999999999E-2</v>
      </c>
      <c r="D49"/>
      <c r="E49"/>
      <c r="F49"/>
      <c r="G49"/>
      <c r="H49"/>
    </row>
    <row r="50" spans="2:8" x14ac:dyDescent="0.3">
      <c r="B50" s="196">
        <f t="shared" si="6"/>
        <v>22</v>
      </c>
      <c r="C50" s="299">
        <v>5.7000000000000002E-2</v>
      </c>
      <c r="D50"/>
      <c r="E50"/>
      <c r="F50"/>
      <c r="G50"/>
      <c r="H50"/>
    </row>
    <row r="51" spans="2:8" x14ac:dyDescent="0.3">
      <c r="B51" s="196">
        <f t="shared" si="6"/>
        <v>22.5</v>
      </c>
      <c r="C51" s="299">
        <v>5.7000000000000002E-2</v>
      </c>
      <c r="D51"/>
      <c r="E51"/>
      <c r="F51"/>
      <c r="G51"/>
      <c r="H51"/>
    </row>
    <row r="52" spans="2:8" x14ac:dyDescent="0.3">
      <c r="B52" s="196">
        <f t="shared" si="6"/>
        <v>23</v>
      </c>
      <c r="C52" s="299">
        <v>5.7000000000000002E-2</v>
      </c>
      <c r="D52"/>
      <c r="E52"/>
      <c r="F52"/>
      <c r="G52"/>
      <c r="H52"/>
    </row>
    <row r="53" spans="2:8" x14ac:dyDescent="0.3">
      <c r="B53" s="196">
        <f t="shared" si="6"/>
        <v>23.5</v>
      </c>
      <c r="C53" s="299">
        <v>5.7000000000000002E-2</v>
      </c>
      <c r="D53"/>
      <c r="E53"/>
      <c r="F53"/>
      <c r="G53"/>
      <c r="H53"/>
    </row>
    <row r="54" spans="2:8" x14ac:dyDescent="0.3">
      <c r="B54" s="196">
        <f t="shared" si="6"/>
        <v>24</v>
      </c>
      <c r="C54" s="299">
        <v>5.7000000000000002E-2</v>
      </c>
      <c r="D54"/>
      <c r="E54"/>
      <c r="F54"/>
      <c r="G54"/>
      <c r="H54"/>
    </row>
    <row r="55" spans="2:8" x14ac:dyDescent="0.3">
      <c r="B55" s="196">
        <f t="shared" si="6"/>
        <v>24.5</v>
      </c>
      <c r="C55" s="299">
        <v>5.7000000000000002E-2</v>
      </c>
      <c r="D55"/>
      <c r="E55"/>
      <c r="F55"/>
      <c r="G55"/>
      <c r="H55"/>
    </row>
    <row r="56" spans="2:8" x14ac:dyDescent="0.3">
      <c r="B56" s="196">
        <f t="shared" si="6"/>
        <v>25</v>
      </c>
      <c r="C56" s="299">
        <v>5.7099999999999998E-2</v>
      </c>
      <c r="D56"/>
      <c r="E56"/>
      <c r="F56"/>
      <c r="G56"/>
      <c r="H56"/>
    </row>
    <row r="57" spans="2:8" x14ac:dyDescent="0.3">
      <c r="B57" s="196">
        <f t="shared" si="6"/>
        <v>25.5</v>
      </c>
      <c r="C57" s="299">
        <v>5.7000000000000002E-2</v>
      </c>
      <c r="D57"/>
      <c r="E57"/>
      <c r="F57"/>
      <c r="G57"/>
      <c r="H57"/>
    </row>
    <row r="58" spans="2:8" x14ac:dyDescent="0.3">
      <c r="B58" s="196">
        <f t="shared" si="6"/>
        <v>26</v>
      </c>
      <c r="C58" s="299">
        <v>5.7100000000000005E-2</v>
      </c>
      <c r="D58"/>
      <c r="E58"/>
      <c r="F58"/>
      <c r="G58"/>
      <c r="H58"/>
    </row>
    <row r="59" spans="2:8" x14ac:dyDescent="0.3">
      <c r="B59" s="196">
        <f t="shared" si="6"/>
        <v>26.5</v>
      </c>
      <c r="C59" s="299">
        <v>5.7099999999999998E-2</v>
      </c>
      <c r="D59"/>
      <c r="E59"/>
      <c r="F59"/>
      <c r="G59"/>
      <c r="H59"/>
    </row>
    <row r="60" spans="2:8" x14ac:dyDescent="0.3">
      <c r="B60" s="196">
        <f t="shared" si="6"/>
        <v>27</v>
      </c>
      <c r="C60" s="299">
        <v>5.7099999999999998E-2</v>
      </c>
      <c r="D60"/>
      <c r="E60"/>
      <c r="F60"/>
      <c r="G60"/>
      <c r="H60"/>
    </row>
    <row r="61" spans="2:8" x14ac:dyDescent="0.3">
      <c r="B61" s="196">
        <f t="shared" si="6"/>
        <v>27.5</v>
      </c>
      <c r="C61" s="299">
        <v>5.7099999999999998E-2</v>
      </c>
      <c r="D61"/>
      <c r="E61"/>
      <c r="F61"/>
      <c r="G61"/>
      <c r="H61"/>
    </row>
    <row r="62" spans="2:8" x14ac:dyDescent="0.3">
      <c r="B62" s="196">
        <f t="shared" si="6"/>
        <v>28</v>
      </c>
      <c r="C62" s="299">
        <v>5.7200000000000001E-2</v>
      </c>
      <c r="D62"/>
      <c r="E62"/>
      <c r="F62"/>
      <c r="G62"/>
      <c r="H62"/>
    </row>
    <row r="63" spans="2:8" x14ac:dyDescent="0.3">
      <c r="B63" s="196">
        <f t="shared" si="6"/>
        <v>28.5</v>
      </c>
      <c r="C63" s="299">
        <v>5.7100000000000005E-2</v>
      </c>
      <c r="D63"/>
      <c r="E63"/>
      <c r="F63"/>
      <c r="G63"/>
      <c r="H63"/>
    </row>
    <row r="64" spans="2:8" x14ac:dyDescent="0.3">
      <c r="B64" s="196">
        <f t="shared" si="6"/>
        <v>29</v>
      </c>
      <c r="C64" s="299">
        <v>5.7200000000000001E-2</v>
      </c>
      <c r="D64"/>
      <c r="E64"/>
      <c r="F64"/>
      <c r="G64"/>
      <c r="H64"/>
    </row>
    <row r="65" spans="2:11" x14ac:dyDescent="0.3">
      <c r="B65" s="196">
        <f t="shared" si="6"/>
        <v>29.5</v>
      </c>
      <c r="C65" s="299">
        <v>5.7300000000000004E-2</v>
      </c>
      <c r="D65"/>
      <c r="E65"/>
      <c r="F65"/>
      <c r="G65"/>
      <c r="H65"/>
    </row>
    <row r="66" spans="2:11" x14ac:dyDescent="0.3">
      <c r="B66" s="195" t="s">
        <v>148</v>
      </c>
      <c r="C66" s="300">
        <v>5.74E-2</v>
      </c>
      <c r="D66"/>
      <c r="E66"/>
      <c r="F66"/>
      <c r="G66"/>
      <c r="H66"/>
    </row>
    <row r="68" spans="2:11" ht="25.5" customHeight="1" x14ac:dyDescent="0.3">
      <c r="B68" s="399" t="s">
        <v>149</v>
      </c>
      <c r="C68" s="399"/>
      <c r="D68" s="399"/>
      <c r="E68" s="399"/>
      <c r="F68" s="399"/>
      <c r="G68" s="399"/>
      <c r="H68" s="399"/>
      <c r="I68" s="194"/>
      <c r="J68" s="194"/>
      <c r="K68" s="194"/>
    </row>
    <row r="69" spans="2:11" x14ac:dyDescent="0.3">
      <c r="B69" s="192"/>
      <c r="C69" s="193"/>
      <c r="D69" s="193"/>
      <c r="E69" s="193"/>
    </row>
    <row r="70" spans="2:11" x14ac:dyDescent="0.3">
      <c r="B70" s="192"/>
    </row>
  </sheetData>
  <mergeCells count="3">
    <mergeCell ref="A3:I3"/>
    <mergeCell ref="B68:H68"/>
    <mergeCell ref="K1:S3"/>
  </mergeCells>
  <hyperlinks>
    <hyperlink ref="K8" r:id="rId1" xr:uid="{60759660-8519-4D9E-A7F0-6302A37D639B}"/>
    <hyperlink ref="K12" r:id="rId2" xr:uid="{759FC4E9-87DF-41D2-9342-739C81C4074A}"/>
  </hyperlinks>
  <pageMargins left="0.7" right="0.7" top="0.75" bottom="0.75" header="0.3" footer="0.3"/>
  <pageSetup orientation="portrait"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83590F-E4A5-4057-9AAF-CA27FFF7F3E7}">
  <sheetPr codeName="Sheet15"/>
  <dimension ref="B1:M125"/>
  <sheetViews>
    <sheetView zoomScale="120" zoomScaleNormal="120" workbookViewId="0">
      <pane ySplit="4" topLeftCell="A5" activePane="bottomLeft" state="frozen"/>
      <selection pane="bottomLeft" activeCell="A5" sqref="A5"/>
    </sheetView>
  </sheetViews>
  <sheetFormatPr defaultColWidth="9.26953125" defaultRowHeight="14.5" x14ac:dyDescent="0.35"/>
  <cols>
    <col min="1" max="2" width="9.26953125" style="206"/>
    <col min="3" max="3" width="17" style="206" customWidth="1"/>
    <col min="4" max="7" width="9.26953125" style="206"/>
    <col min="8" max="8" width="31.453125" style="206" bestFit="1" customWidth="1"/>
    <col min="9" max="16384" width="9.26953125" style="206"/>
  </cols>
  <sheetData>
    <row r="1" spans="2:13" x14ac:dyDescent="0.35">
      <c r="B1" s="215" t="s">
        <v>150</v>
      </c>
      <c r="H1" s="216" t="s">
        <v>144</v>
      </c>
    </row>
    <row r="2" spans="2:13" x14ac:dyDescent="0.35">
      <c r="B2" s="310" t="str">
        <f>'Update Wkbk Instructions'!A2</f>
        <v>This workbook is effective 01/01/2026 through 12/31/2026.</v>
      </c>
      <c r="C2" s="311"/>
      <c r="D2" s="311"/>
      <c r="E2" s="311"/>
      <c r="F2" s="311"/>
      <c r="H2" s="217" t="s">
        <v>151</v>
      </c>
    </row>
    <row r="3" spans="2:13" ht="15" thickBot="1" x14ac:dyDescent="0.4"/>
    <row r="4" spans="2:13" ht="15.75" customHeight="1" thickBot="1" x14ac:dyDescent="0.4">
      <c r="B4" s="218" t="s">
        <v>94</v>
      </c>
      <c r="C4" s="219" t="s">
        <v>152</v>
      </c>
      <c r="H4" s="409" t="s">
        <v>153</v>
      </c>
      <c r="I4" s="410"/>
      <c r="J4" s="410"/>
      <c r="K4" s="410"/>
      <c r="L4" s="411"/>
    </row>
    <row r="5" spans="2:13" ht="15.5" x14ac:dyDescent="0.35">
      <c r="B5" s="207">
        <v>0</v>
      </c>
      <c r="C5" s="220">
        <v>2.0200000000000001E-3</v>
      </c>
      <c r="H5" s="412"/>
      <c r="I5" s="413"/>
      <c r="J5" s="413"/>
      <c r="K5" s="413"/>
      <c r="L5" s="414"/>
    </row>
    <row r="6" spans="2:13" ht="15.5" x14ac:dyDescent="0.35">
      <c r="B6" s="207">
        <v>1</v>
      </c>
      <c r="C6" s="220">
        <v>1.3999999999999999E-4</v>
      </c>
      <c r="H6" s="412"/>
      <c r="I6" s="413"/>
      <c r="J6" s="413"/>
      <c r="K6" s="413"/>
      <c r="L6" s="414"/>
    </row>
    <row r="7" spans="2:13" ht="15.5" x14ac:dyDescent="0.35">
      <c r="B7" s="207">
        <v>2</v>
      </c>
      <c r="C7" s="220">
        <v>9.0000000000000006E-5</v>
      </c>
      <c r="H7" s="412"/>
      <c r="I7" s="413"/>
      <c r="J7" s="413"/>
      <c r="K7" s="413"/>
      <c r="L7" s="414"/>
    </row>
    <row r="8" spans="2:13" ht="15.5" x14ac:dyDescent="0.35">
      <c r="B8" s="207">
        <v>3</v>
      </c>
      <c r="C8" s="220">
        <v>6.9999999999999994E-5</v>
      </c>
      <c r="H8" s="415"/>
      <c r="I8" s="416"/>
      <c r="J8" s="416"/>
      <c r="K8" s="416"/>
      <c r="L8" s="417"/>
    </row>
    <row r="9" spans="2:13" ht="15.5" x14ac:dyDescent="0.35">
      <c r="B9" s="207">
        <v>4</v>
      </c>
      <c r="C9" s="220">
        <v>6.0000000000000002E-5</v>
      </c>
    </row>
    <row r="10" spans="2:13" ht="15.5" x14ac:dyDescent="0.35">
      <c r="B10" s="207">
        <v>5</v>
      </c>
      <c r="C10" s="220">
        <v>5.0000000000000002E-5</v>
      </c>
      <c r="H10" s="312" t="s">
        <v>154</v>
      </c>
      <c r="I10" s="311"/>
      <c r="J10" s="311"/>
      <c r="K10" s="311"/>
      <c r="L10" s="311"/>
      <c r="M10" s="311"/>
    </row>
    <row r="11" spans="2:13" ht="15.5" x14ac:dyDescent="0.35">
      <c r="B11" s="207">
        <v>6</v>
      </c>
      <c r="C11" s="220">
        <v>5.0000000000000002E-5</v>
      </c>
      <c r="H11" s="314" t="s">
        <v>155</v>
      </c>
      <c r="I11" s="311"/>
      <c r="J11" s="311"/>
      <c r="K11" s="311"/>
      <c r="L11" s="311"/>
      <c r="M11" s="311"/>
    </row>
    <row r="12" spans="2:13" ht="15.5" x14ac:dyDescent="0.35">
      <c r="B12" s="207">
        <v>7</v>
      </c>
      <c r="C12" s="220">
        <v>5.0000000000000002E-5</v>
      </c>
    </row>
    <row r="13" spans="2:13" ht="15.5" x14ac:dyDescent="0.35">
      <c r="B13" s="207">
        <v>8</v>
      </c>
      <c r="C13" s="220">
        <v>4.0000000000000003E-5</v>
      </c>
    </row>
    <row r="14" spans="2:13" ht="15.5" x14ac:dyDescent="0.35">
      <c r="B14" s="207">
        <v>9</v>
      </c>
      <c r="C14" s="220">
        <v>3.0000000000000001E-5</v>
      </c>
    </row>
    <row r="15" spans="2:13" ht="15.5" x14ac:dyDescent="0.35">
      <c r="B15" s="207">
        <v>10</v>
      </c>
      <c r="C15" s="220">
        <v>4.0000000000000003E-5</v>
      </c>
    </row>
    <row r="16" spans="2:13" ht="15.5" x14ac:dyDescent="0.35">
      <c r="B16" s="207">
        <v>11</v>
      </c>
      <c r="C16" s="220">
        <v>4.0000000000000003E-5</v>
      </c>
    </row>
    <row r="17" spans="2:3" ht="15.5" x14ac:dyDescent="0.35">
      <c r="B17" s="207">
        <v>12</v>
      </c>
      <c r="C17" s="220">
        <v>5.0000000000000002E-5</v>
      </c>
    </row>
    <row r="18" spans="2:3" ht="15.5" x14ac:dyDescent="0.35">
      <c r="B18" s="207">
        <v>13</v>
      </c>
      <c r="C18" s="220">
        <v>6.0000000000000002E-5</v>
      </c>
    </row>
    <row r="19" spans="2:3" ht="15.5" x14ac:dyDescent="0.35">
      <c r="B19" s="207">
        <v>14</v>
      </c>
      <c r="C19" s="220">
        <v>6.9999999999999994E-5</v>
      </c>
    </row>
    <row r="20" spans="2:3" ht="15.5" x14ac:dyDescent="0.35">
      <c r="B20" s="207">
        <v>15</v>
      </c>
      <c r="C20" s="220">
        <v>8.0000000000000007E-5</v>
      </c>
    </row>
    <row r="21" spans="2:3" ht="15.5" x14ac:dyDescent="0.35">
      <c r="B21" s="207">
        <v>16</v>
      </c>
      <c r="C21" s="220">
        <v>1E-4</v>
      </c>
    </row>
    <row r="22" spans="2:3" ht="15.5" x14ac:dyDescent="0.35">
      <c r="B22" s="207">
        <v>17</v>
      </c>
      <c r="C22" s="220">
        <v>1.2E-4</v>
      </c>
    </row>
    <row r="23" spans="2:3" ht="15.5" x14ac:dyDescent="0.35">
      <c r="B23" s="207">
        <v>18</v>
      </c>
      <c r="C23" s="220">
        <v>1.3999999999999999E-4</v>
      </c>
    </row>
    <row r="24" spans="2:3" ht="15.5" x14ac:dyDescent="0.35">
      <c r="B24" s="207">
        <v>19</v>
      </c>
      <c r="C24" s="220">
        <v>1.4999999999999999E-4</v>
      </c>
    </row>
    <row r="25" spans="2:3" ht="15.5" x14ac:dyDescent="0.35">
      <c r="B25" s="207">
        <v>20</v>
      </c>
      <c r="C25" s="220">
        <v>1.6000000000000001E-4</v>
      </c>
    </row>
    <row r="26" spans="2:3" ht="15.5" x14ac:dyDescent="0.35">
      <c r="B26" s="207">
        <v>21</v>
      </c>
      <c r="C26" s="220">
        <v>1.6000000000000001E-4</v>
      </c>
    </row>
    <row r="27" spans="2:3" ht="15.5" x14ac:dyDescent="0.35">
      <c r="B27" s="207">
        <v>22</v>
      </c>
      <c r="C27" s="220">
        <v>1.7000000000000001E-4</v>
      </c>
    </row>
    <row r="28" spans="2:3" ht="15.5" x14ac:dyDescent="0.35">
      <c r="B28" s="207">
        <v>23</v>
      </c>
      <c r="C28" s="220">
        <v>1.8000000000000001E-4</v>
      </c>
    </row>
    <row r="29" spans="2:3" ht="15.5" x14ac:dyDescent="0.35">
      <c r="B29" s="207">
        <v>24</v>
      </c>
      <c r="C29" s="220">
        <v>1.9000000000000001E-4</v>
      </c>
    </row>
    <row r="30" spans="2:3" ht="15.5" x14ac:dyDescent="0.35">
      <c r="B30" s="207">
        <v>25</v>
      </c>
      <c r="C30" s="220">
        <v>1.9000000000000001E-4</v>
      </c>
    </row>
    <row r="31" spans="2:3" ht="15.5" x14ac:dyDescent="0.35">
      <c r="B31" s="207">
        <v>26</v>
      </c>
      <c r="C31" s="220">
        <v>2.0000000000000001E-4</v>
      </c>
    </row>
    <row r="32" spans="2:3" ht="15.5" x14ac:dyDescent="0.35">
      <c r="B32" s="207">
        <v>27</v>
      </c>
      <c r="C32" s="220">
        <v>2.1000000000000001E-4</v>
      </c>
    </row>
    <row r="33" spans="2:3" ht="15.5" x14ac:dyDescent="0.35">
      <c r="B33" s="207">
        <v>28</v>
      </c>
      <c r="C33" s="220">
        <v>2.2000000000000001E-4</v>
      </c>
    </row>
    <row r="34" spans="2:3" ht="15.5" x14ac:dyDescent="0.35">
      <c r="B34" s="207">
        <v>29</v>
      </c>
      <c r="C34" s="220">
        <v>2.3000000000000001E-4</v>
      </c>
    </row>
    <row r="35" spans="2:3" ht="15.5" x14ac:dyDescent="0.35">
      <c r="B35" s="207">
        <v>30</v>
      </c>
      <c r="C35" s="220">
        <v>2.4000000000000001E-4</v>
      </c>
    </row>
    <row r="36" spans="2:3" ht="15.5" x14ac:dyDescent="0.35">
      <c r="B36" s="207">
        <v>31</v>
      </c>
      <c r="C36" s="220">
        <v>2.5999999999999998E-4</v>
      </c>
    </row>
    <row r="37" spans="2:3" ht="15.5" x14ac:dyDescent="0.35">
      <c r="B37" s="207">
        <v>32</v>
      </c>
      <c r="C37" s="220">
        <v>2.7E-4</v>
      </c>
    </row>
    <row r="38" spans="2:3" ht="15.5" x14ac:dyDescent="0.35">
      <c r="B38" s="207">
        <v>33</v>
      </c>
      <c r="C38" s="220">
        <v>2.9999999999999997E-4</v>
      </c>
    </row>
    <row r="39" spans="2:3" ht="15.5" x14ac:dyDescent="0.35">
      <c r="B39" s="207">
        <v>34</v>
      </c>
      <c r="C39" s="220">
        <v>3.1E-4</v>
      </c>
    </row>
    <row r="40" spans="2:3" ht="15.5" x14ac:dyDescent="0.35">
      <c r="B40" s="207">
        <v>35</v>
      </c>
      <c r="C40" s="220">
        <v>3.3E-4</v>
      </c>
    </row>
    <row r="41" spans="2:3" ht="15.5" x14ac:dyDescent="0.35">
      <c r="B41" s="207">
        <v>36</v>
      </c>
      <c r="C41" s="220">
        <v>3.5E-4</v>
      </c>
    </row>
    <row r="42" spans="2:3" ht="15.5" x14ac:dyDescent="0.35">
      <c r="B42" s="207">
        <v>37</v>
      </c>
      <c r="C42" s="220">
        <v>3.6999999999999999E-4</v>
      </c>
    </row>
    <row r="43" spans="2:3" ht="15.5" x14ac:dyDescent="0.35">
      <c r="B43" s="207">
        <v>38</v>
      </c>
      <c r="C43" s="220">
        <v>3.8999999999999999E-4</v>
      </c>
    </row>
    <row r="44" spans="2:3" ht="15.5" x14ac:dyDescent="0.35">
      <c r="B44" s="207">
        <v>39</v>
      </c>
      <c r="C44" s="220">
        <v>4.0999999999999999E-4</v>
      </c>
    </row>
    <row r="45" spans="2:3" ht="15.5" x14ac:dyDescent="0.35">
      <c r="B45" s="207">
        <v>40</v>
      </c>
      <c r="C45" s="220">
        <v>4.2999999999999999E-4</v>
      </c>
    </row>
    <row r="46" spans="2:3" ht="15.5" x14ac:dyDescent="0.35">
      <c r="B46" s="207">
        <v>41</v>
      </c>
      <c r="C46" s="220">
        <v>4.4000000000000002E-4</v>
      </c>
    </row>
    <row r="47" spans="2:3" ht="15.5" x14ac:dyDescent="0.35">
      <c r="B47" s="207">
        <v>42</v>
      </c>
      <c r="C47" s="220">
        <v>4.6000000000000001E-4</v>
      </c>
    </row>
    <row r="48" spans="2:3" ht="15.5" x14ac:dyDescent="0.35">
      <c r="B48" s="207">
        <v>43</v>
      </c>
      <c r="C48" s="220">
        <v>4.8000000000000001E-4</v>
      </c>
    </row>
    <row r="49" spans="2:3" ht="15.5" x14ac:dyDescent="0.35">
      <c r="B49" s="207">
        <v>44</v>
      </c>
      <c r="C49" s="220">
        <v>5.0000000000000001E-4</v>
      </c>
    </row>
    <row r="50" spans="2:3" ht="15.5" x14ac:dyDescent="0.35">
      <c r="B50" s="207">
        <v>45</v>
      </c>
      <c r="C50" s="220">
        <v>5.1999999999999995E-4</v>
      </c>
    </row>
    <row r="51" spans="2:3" ht="15.5" x14ac:dyDescent="0.35">
      <c r="B51" s="207">
        <v>46</v>
      </c>
      <c r="C51" s="220">
        <v>5.5999999999999995E-4</v>
      </c>
    </row>
    <row r="52" spans="2:3" ht="15.5" x14ac:dyDescent="0.35">
      <c r="B52" s="207">
        <v>47</v>
      </c>
      <c r="C52" s="220">
        <v>5.9000000000000003E-4</v>
      </c>
    </row>
    <row r="53" spans="2:3" ht="15.5" x14ac:dyDescent="0.35">
      <c r="B53" s="207">
        <v>48</v>
      </c>
      <c r="C53" s="220">
        <v>6.4000000000000005E-4</v>
      </c>
    </row>
    <row r="54" spans="2:3" ht="15.5" x14ac:dyDescent="0.35">
      <c r="B54" s="207">
        <v>49</v>
      </c>
      <c r="C54" s="220">
        <v>6.8000000000000005E-4</v>
      </c>
    </row>
    <row r="55" spans="2:3" ht="15.5" x14ac:dyDescent="0.35">
      <c r="B55" s="207">
        <v>50</v>
      </c>
      <c r="C55" s="220">
        <v>7.5000000000000002E-4</v>
      </c>
    </row>
    <row r="56" spans="2:3" ht="15.5" x14ac:dyDescent="0.35">
      <c r="B56" s="207">
        <v>51</v>
      </c>
      <c r="C56" s="220">
        <v>8.3000000000000001E-4</v>
      </c>
    </row>
    <row r="57" spans="2:3" ht="15.5" x14ac:dyDescent="0.35">
      <c r="B57" s="207">
        <v>52</v>
      </c>
      <c r="C57" s="220">
        <v>9.2000000000000003E-4</v>
      </c>
    </row>
    <row r="58" spans="2:3" ht="15.5" x14ac:dyDescent="0.35">
      <c r="B58" s="207">
        <v>53</v>
      </c>
      <c r="C58" s="220">
        <v>1.0300000000000001E-3</v>
      </c>
    </row>
    <row r="59" spans="2:3" ht="15.5" x14ac:dyDescent="0.35">
      <c r="B59" s="207">
        <v>54</v>
      </c>
      <c r="C59" s="220">
        <v>1.17E-3</v>
      </c>
    </row>
    <row r="60" spans="2:3" ht="15.5" x14ac:dyDescent="0.35">
      <c r="B60" s="207">
        <v>55</v>
      </c>
      <c r="C60" s="220">
        <v>1.39E-3</v>
      </c>
    </row>
    <row r="61" spans="2:3" ht="15.5" x14ac:dyDescent="0.35">
      <c r="B61" s="207">
        <v>56</v>
      </c>
      <c r="C61" s="220">
        <v>1.72E-3</v>
      </c>
    </row>
    <row r="62" spans="2:3" ht="15.5" x14ac:dyDescent="0.35">
      <c r="B62" s="207">
        <v>57</v>
      </c>
      <c r="C62" s="220">
        <v>2E-3</v>
      </c>
    </row>
    <row r="63" spans="2:3" ht="15.5" x14ac:dyDescent="0.35">
      <c r="B63" s="207">
        <v>58</v>
      </c>
      <c r="C63" s="220">
        <v>2.32E-3</v>
      </c>
    </row>
    <row r="64" spans="2:3" ht="15.5" x14ac:dyDescent="0.35">
      <c r="B64" s="207">
        <v>59</v>
      </c>
      <c r="C64" s="220">
        <v>2.6900000000000001E-3</v>
      </c>
    </row>
    <row r="65" spans="2:3" ht="15.5" x14ac:dyDescent="0.35">
      <c r="B65" s="207">
        <v>60</v>
      </c>
      <c r="C65" s="220">
        <v>3.13E-3</v>
      </c>
    </row>
    <row r="66" spans="2:3" ht="15.5" x14ac:dyDescent="0.35">
      <c r="B66" s="208">
        <v>61</v>
      </c>
      <c r="C66" s="221">
        <v>3.5999999999999999E-3</v>
      </c>
    </row>
    <row r="67" spans="2:3" ht="15.5" x14ac:dyDescent="0.35">
      <c r="B67" s="208">
        <v>62</v>
      </c>
      <c r="C67" s="221">
        <v>4.28E-3</v>
      </c>
    </row>
    <row r="68" spans="2:3" ht="15.5" x14ac:dyDescent="0.35">
      <c r="B68" s="208">
        <v>63</v>
      </c>
      <c r="C68" s="221">
        <v>5.0000000000000001E-3</v>
      </c>
    </row>
    <row r="69" spans="2:3" ht="15.5" x14ac:dyDescent="0.35">
      <c r="B69" s="208">
        <v>64</v>
      </c>
      <c r="C69" s="221">
        <v>5.62E-3</v>
      </c>
    </row>
    <row r="70" spans="2:3" ht="15.5" x14ac:dyDescent="0.35">
      <c r="B70" s="208">
        <v>65</v>
      </c>
      <c r="C70" s="221">
        <v>6.4099999999999999E-3</v>
      </c>
    </row>
    <row r="71" spans="2:3" ht="15.5" x14ac:dyDescent="0.35">
      <c r="B71" s="208">
        <v>66</v>
      </c>
      <c r="C71" s="221">
        <v>7.2899999999999996E-3</v>
      </c>
    </row>
    <row r="72" spans="2:3" ht="15.5" x14ac:dyDescent="0.35">
      <c r="B72" s="208">
        <v>67</v>
      </c>
      <c r="C72" s="221">
        <v>8.1300000000000001E-3</v>
      </c>
    </row>
    <row r="73" spans="2:3" ht="15.5" x14ac:dyDescent="0.35">
      <c r="B73" s="208">
        <v>68</v>
      </c>
      <c r="C73" s="221">
        <v>9.0399999999999994E-3</v>
      </c>
    </row>
    <row r="74" spans="2:3" ht="15.5" x14ac:dyDescent="0.35">
      <c r="B74" s="208">
        <v>69</v>
      </c>
      <c r="C74" s="221">
        <v>1.008E-2</v>
      </c>
    </row>
    <row r="75" spans="2:3" ht="15.5" x14ac:dyDescent="0.35">
      <c r="B75" s="208">
        <v>70</v>
      </c>
      <c r="C75" s="221">
        <v>1.1270000000000001E-2</v>
      </c>
    </row>
    <row r="76" spans="2:3" ht="15.5" x14ac:dyDescent="0.35">
      <c r="B76" s="208">
        <v>71</v>
      </c>
      <c r="C76" s="221">
        <v>1.2619999999999999E-2</v>
      </c>
    </row>
    <row r="77" spans="2:3" ht="15.5" x14ac:dyDescent="0.35">
      <c r="B77" s="208">
        <v>72</v>
      </c>
      <c r="C77" s="221">
        <v>1.417E-2</v>
      </c>
    </row>
    <row r="78" spans="2:3" ht="15.5" x14ac:dyDescent="0.35">
      <c r="B78" s="208">
        <v>73</v>
      </c>
      <c r="C78" s="221">
        <v>1.592E-2</v>
      </c>
    </row>
    <row r="79" spans="2:3" ht="15.5" x14ac:dyDescent="0.35">
      <c r="B79" s="208">
        <v>74</v>
      </c>
      <c r="C79" s="221">
        <v>1.7940000000000001E-2</v>
      </c>
    </row>
    <row r="80" spans="2:3" ht="15.5" x14ac:dyDescent="0.35">
      <c r="B80" s="208">
        <v>75</v>
      </c>
      <c r="C80" s="221">
        <v>2.0250000000000001E-2</v>
      </c>
    </row>
    <row r="81" spans="2:3" ht="15.5" x14ac:dyDescent="0.35">
      <c r="B81" s="208">
        <v>76</v>
      </c>
      <c r="C81" s="221">
        <v>2.291E-2</v>
      </c>
    </row>
    <row r="82" spans="2:3" ht="15.5" x14ac:dyDescent="0.35">
      <c r="B82" s="208">
        <v>77</v>
      </c>
      <c r="C82" s="221">
        <v>2.596E-2</v>
      </c>
    </row>
    <row r="83" spans="2:3" ht="15.5" x14ac:dyDescent="0.35">
      <c r="B83" s="208">
        <v>78</v>
      </c>
      <c r="C83" s="221">
        <v>2.945E-2</v>
      </c>
    </row>
    <row r="84" spans="2:3" ht="15.5" x14ac:dyDescent="0.35">
      <c r="B84" s="208">
        <v>79</v>
      </c>
      <c r="C84" s="221">
        <v>3.3450000000000001E-2</v>
      </c>
    </row>
    <row r="85" spans="2:3" ht="15.5" x14ac:dyDescent="0.35">
      <c r="B85" s="208">
        <v>80</v>
      </c>
      <c r="C85" s="221">
        <v>3.823E-2</v>
      </c>
    </row>
    <row r="86" spans="2:3" ht="15.5" x14ac:dyDescent="0.35">
      <c r="B86" s="208">
        <v>81</v>
      </c>
      <c r="C86" s="221">
        <v>4.3150000000000001E-2</v>
      </c>
    </row>
    <row r="87" spans="2:3" ht="15.5" x14ac:dyDescent="0.35">
      <c r="B87" s="208">
        <v>82</v>
      </c>
      <c r="C87" s="221">
        <v>4.8719999999999999E-2</v>
      </c>
    </row>
    <row r="88" spans="2:3" ht="15.5" x14ac:dyDescent="0.35">
      <c r="B88" s="208">
        <v>83</v>
      </c>
      <c r="C88" s="221">
        <v>5.5019999999999999E-2</v>
      </c>
    </row>
    <row r="89" spans="2:3" ht="15.5" x14ac:dyDescent="0.35">
      <c r="B89" s="208">
        <v>84</v>
      </c>
      <c r="C89" s="221">
        <v>6.2170000000000003E-2</v>
      </c>
    </row>
    <row r="90" spans="2:3" ht="15.5" x14ac:dyDescent="0.35">
      <c r="B90" s="208">
        <v>85</v>
      </c>
      <c r="C90" s="221">
        <v>7.0290000000000005E-2</v>
      </c>
    </row>
    <row r="91" spans="2:3" ht="15.5" x14ac:dyDescent="0.35">
      <c r="B91" s="208">
        <v>86</v>
      </c>
      <c r="C91" s="221">
        <v>7.9469999999999999E-2</v>
      </c>
    </row>
    <row r="92" spans="2:3" ht="15.5" x14ac:dyDescent="0.35">
      <c r="B92" s="208">
        <v>87</v>
      </c>
      <c r="C92" s="221">
        <v>8.9819999999999997E-2</v>
      </c>
    </row>
    <row r="93" spans="2:3" ht="15.5" x14ac:dyDescent="0.35">
      <c r="B93" s="208">
        <v>88</v>
      </c>
      <c r="C93" s="221">
        <v>0.10154000000000001</v>
      </c>
    </row>
    <row r="94" spans="2:3" ht="15.5" x14ac:dyDescent="0.35">
      <c r="B94" s="208">
        <v>89</v>
      </c>
      <c r="C94" s="221">
        <v>0.11457000000000001</v>
      </c>
    </row>
    <row r="95" spans="2:3" ht="15.5" x14ac:dyDescent="0.35">
      <c r="B95" s="208">
        <v>90</v>
      </c>
      <c r="C95" s="221">
        <v>0.12889</v>
      </c>
    </row>
    <row r="96" spans="2:3" ht="15.5" x14ac:dyDescent="0.35">
      <c r="B96" s="208">
        <v>91</v>
      </c>
      <c r="C96" s="221">
        <v>0.14387</v>
      </c>
    </row>
    <row r="97" spans="2:3" ht="15.5" x14ac:dyDescent="0.35">
      <c r="B97" s="208">
        <v>92</v>
      </c>
      <c r="C97" s="221">
        <v>0.15933</v>
      </c>
    </row>
    <row r="98" spans="2:3" ht="15.5" x14ac:dyDescent="0.35">
      <c r="B98" s="208">
        <v>93</v>
      </c>
      <c r="C98" s="221">
        <v>0.17521999999999999</v>
      </c>
    </row>
    <row r="99" spans="2:3" ht="15.5" x14ac:dyDescent="0.35">
      <c r="B99" s="208">
        <v>94</v>
      </c>
      <c r="C99" s="221">
        <v>0.19127</v>
      </c>
    </row>
    <row r="100" spans="2:3" ht="15.5" x14ac:dyDescent="0.35">
      <c r="B100" s="208">
        <v>95</v>
      </c>
      <c r="C100" s="221">
        <v>0.20745</v>
      </c>
    </row>
    <row r="101" spans="2:3" ht="15.5" x14ac:dyDescent="0.35">
      <c r="B101" s="208">
        <v>96</v>
      </c>
      <c r="C101" s="221">
        <v>0.22467000000000001</v>
      </c>
    </row>
    <row r="102" spans="2:3" ht="15.5" x14ac:dyDescent="0.35">
      <c r="B102" s="208">
        <v>97</v>
      </c>
      <c r="C102" s="221">
        <v>0.24234</v>
      </c>
    </row>
    <row r="103" spans="2:3" ht="15.5" x14ac:dyDescent="0.35">
      <c r="B103" s="208">
        <v>98</v>
      </c>
      <c r="C103" s="221">
        <v>0.26047999999999999</v>
      </c>
    </row>
    <row r="104" spans="2:3" ht="15.5" x14ac:dyDescent="0.35">
      <c r="B104" s="208">
        <v>99</v>
      </c>
      <c r="C104" s="221">
        <v>0.27911999999999998</v>
      </c>
    </row>
    <row r="105" spans="2:3" ht="15.5" x14ac:dyDescent="0.35">
      <c r="B105" s="208">
        <v>100</v>
      </c>
      <c r="C105" s="221">
        <v>0.29814000000000002</v>
      </c>
    </row>
    <row r="106" spans="2:3" ht="15.5" x14ac:dyDescent="0.35">
      <c r="B106" s="208">
        <v>101</v>
      </c>
      <c r="C106" s="221">
        <v>0.31746000000000002</v>
      </c>
    </row>
    <row r="107" spans="2:3" ht="15.5" x14ac:dyDescent="0.35">
      <c r="B107" s="208">
        <v>102</v>
      </c>
      <c r="C107" s="221">
        <v>0.33676</v>
      </c>
    </row>
    <row r="108" spans="2:3" ht="15.5" x14ac:dyDescent="0.35">
      <c r="B108" s="208">
        <v>103</v>
      </c>
      <c r="C108" s="221">
        <v>0.35594999999999999</v>
      </c>
    </row>
    <row r="109" spans="2:3" ht="15.5" x14ac:dyDescent="0.35">
      <c r="B109" s="208">
        <v>104</v>
      </c>
      <c r="C109" s="221">
        <v>0.37502000000000002</v>
      </c>
    </row>
    <row r="110" spans="2:3" ht="15.5" x14ac:dyDescent="0.35">
      <c r="B110" s="208">
        <v>105</v>
      </c>
      <c r="C110" s="221">
        <v>0.39354</v>
      </c>
    </row>
    <row r="111" spans="2:3" ht="15.5" x14ac:dyDescent="0.35">
      <c r="B111" s="208">
        <v>106</v>
      </c>
      <c r="C111" s="221">
        <v>0.41166000000000003</v>
      </c>
    </row>
    <row r="112" spans="2:3" ht="15.5" x14ac:dyDescent="0.35">
      <c r="B112" s="208">
        <v>107</v>
      </c>
      <c r="C112" s="221">
        <v>0.42920999999999998</v>
      </c>
    </row>
    <row r="113" spans="2:3" ht="15.5" x14ac:dyDescent="0.35">
      <c r="B113" s="208">
        <v>108</v>
      </c>
      <c r="C113" s="221">
        <v>0.44595000000000001</v>
      </c>
    </row>
    <row r="114" spans="2:3" ht="15.5" x14ac:dyDescent="0.35">
      <c r="B114" s="208">
        <v>109</v>
      </c>
      <c r="C114" s="221">
        <v>0.46204000000000001</v>
      </c>
    </row>
    <row r="115" spans="2:3" ht="15.5" x14ac:dyDescent="0.35">
      <c r="B115" s="208">
        <v>110</v>
      </c>
      <c r="C115" s="221">
        <v>0.47508</v>
      </c>
    </row>
    <row r="116" spans="2:3" ht="15.5" x14ac:dyDescent="0.35">
      <c r="B116" s="208">
        <v>111</v>
      </c>
      <c r="C116" s="221">
        <v>0.48365999999999998</v>
      </c>
    </row>
    <row r="117" spans="2:3" ht="15.5" x14ac:dyDescent="0.35">
      <c r="B117" s="208">
        <v>112</v>
      </c>
      <c r="C117" s="221">
        <v>0.49184</v>
      </c>
    </row>
    <row r="118" spans="2:3" ht="15.5" x14ac:dyDescent="0.35">
      <c r="B118" s="208">
        <v>113</v>
      </c>
      <c r="C118" s="221">
        <v>0.49602000000000002</v>
      </c>
    </row>
    <row r="119" spans="2:3" ht="15.5" x14ac:dyDescent="0.35">
      <c r="B119" s="208">
        <v>114</v>
      </c>
      <c r="C119" s="221">
        <v>0.49751000000000001</v>
      </c>
    </row>
    <row r="120" spans="2:3" ht="15.5" x14ac:dyDescent="0.35">
      <c r="B120" s="208">
        <v>115</v>
      </c>
      <c r="C120" s="221">
        <v>0.49902999999999997</v>
      </c>
    </row>
    <row r="121" spans="2:3" ht="15.5" x14ac:dyDescent="0.35">
      <c r="B121" s="208">
        <v>116</v>
      </c>
      <c r="C121" s="221">
        <v>0.49945000000000001</v>
      </c>
    </row>
    <row r="122" spans="2:3" ht="15.5" x14ac:dyDescent="0.35">
      <c r="B122" s="208">
        <v>117</v>
      </c>
      <c r="C122" s="221">
        <v>0.49968000000000001</v>
      </c>
    </row>
    <row r="123" spans="2:3" ht="15.5" x14ac:dyDescent="0.35">
      <c r="B123" s="208">
        <v>118</v>
      </c>
      <c r="C123" s="221">
        <v>0.49990000000000001</v>
      </c>
    </row>
    <row r="124" spans="2:3" ht="15.5" x14ac:dyDescent="0.35">
      <c r="B124" s="208">
        <v>119</v>
      </c>
      <c r="C124" s="221">
        <v>0.5</v>
      </c>
    </row>
    <row r="125" spans="2:3" ht="16" thickBot="1" x14ac:dyDescent="0.4">
      <c r="B125" s="209">
        <v>120</v>
      </c>
      <c r="C125" s="222">
        <v>1</v>
      </c>
    </row>
  </sheetData>
  <mergeCells count="1">
    <mergeCell ref="H4:L8"/>
  </mergeCells>
  <hyperlinks>
    <hyperlink ref="H2" r:id="rId1" location="p-4044.53(h)" xr:uid="{5C5D7EF1-10DB-4707-93F2-5EDCF21F2779}"/>
    <hyperlink ref="H11" r:id="rId2" xr:uid="{2443EFC4-73B3-4B24-8C49-15F3CD49668A}"/>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8185C4-2DC4-4D31-907A-EA67670D9478}">
  <sheetPr codeName="Sheet8">
    <tabColor rgb="FF7030A0"/>
  </sheetPr>
  <dimension ref="A1:T54"/>
  <sheetViews>
    <sheetView topLeftCell="A38" zoomScale="120" zoomScaleNormal="120" workbookViewId="0">
      <selection activeCell="A45" sqref="A45"/>
    </sheetView>
  </sheetViews>
  <sheetFormatPr defaultColWidth="9.26953125" defaultRowHeight="14" x14ac:dyDescent="0.3"/>
  <cols>
    <col min="1" max="2" width="9.26953125" style="90"/>
    <col min="3" max="3" width="3.7265625" style="83" customWidth="1"/>
    <col min="4" max="4" width="10.26953125" style="83" customWidth="1"/>
    <col min="5" max="7" width="9.26953125" style="83" customWidth="1"/>
    <col min="8" max="16384" width="9.26953125" style="83"/>
  </cols>
  <sheetData>
    <row r="1" spans="1:15" x14ac:dyDescent="0.3">
      <c r="A1" s="82" t="s">
        <v>156</v>
      </c>
      <c r="B1" s="83"/>
      <c r="E1" s="309">
        <v>2026</v>
      </c>
    </row>
    <row r="2" spans="1:15" x14ac:dyDescent="0.3">
      <c r="A2" s="249" t="str">
        <f>"This workbook is effective "&amp;TEXT(IF(E1=2024,DATE(E1,7,31),DATE(E1,1,1)),"mm/dd/yyyy")&amp;" through "&amp;TEXT(DATE(E1,12,31),"mm/dd/yyyy")&amp;"."</f>
        <v>This workbook is effective 01/01/2026 through 12/31/2026.</v>
      </c>
      <c r="B2" s="83"/>
      <c r="E2" s="308"/>
      <c r="G2" s="249"/>
    </row>
    <row r="3" spans="1:15" x14ac:dyDescent="0.3">
      <c r="C3" s="82"/>
    </row>
    <row r="4" spans="1:15" x14ac:dyDescent="0.3">
      <c r="A4" s="93" t="s">
        <v>157</v>
      </c>
      <c r="B4" s="93" t="s">
        <v>158</v>
      </c>
    </row>
    <row r="5" spans="1:15" x14ac:dyDescent="0.3">
      <c r="A5" s="92" t="s">
        <v>159</v>
      </c>
      <c r="B5" s="91" t="s">
        <v>187</v>
      </c>
      <c r="C5" s="84">
        <v>1</v>
      </c>
      <c r="D5" s="83" t="s">
        <v>160</v>
      </c>
    </row>
    <row r="6" spans="1:15" x14ac:dyDescent="0.3">
      <c r="A6" s="93"/>
      <c r="B6" s="93"/>
      <c r="C6" s="84"/>
    </row>
    <row r="7" spans="1:15" x14ac:dyDescent="0.3">
      <c r="A7" s="92" t="s">
        <v>159</v>
      </c>
      <c r="B7" s="91" t="s">
        <v>187</v>
      </c>
      <c r="C7" s="84">
        <v>2</v>
      </c>
      <c r="D7" s="85" t="s">
        <v>161</v>
      </c>
    </row>
    <row r="8" spans="1:15" x14ac:dyDescent="0.3">
      <c r="A8" s="93"/>
      <c r="B8" s="93"/>
      <c r="C8" s="84"/>
    </row>
    <row r="9" spans="1:15" x14ac:dyDescent="0.3">
      <c r="A9" s="92" t="s">
        <v>159</v>
      </c>
      <c r="B9" s="91" t="s">
        <v>187</v>
      </c>
      <c r="C9" s="84">
        <v>3</v>
      </c>
      <c r="D9" s="83" t="s">
        <v>162</v>
      </c>
    </row>
    <row r="10" spans="1:15" x14ac:dyDescent="0.3">
      <c r="A10" s="93"/>
      <c r="B10" s="93"/>
      <c r="C10" s="84"/>
    </row>
    <row r="11" spans="1:15" x14ac:dyDescent="0.3">
      <c r="A11" s="83"/>
      <c r="B11" s="83"/>
      <c r="C11" s="84"/>
    </row>
    <row r="12" spans="1:15" x14ac:dyDescent="0.3">
      <c r="A12" s="92" t="s">
        <v>159</v>
      </c>
      <c r="B12" s="91" t="s">
        <v>187</v>
      </c>
      <c r="C12" s="84">
        <v>4</v>
      </c>
      <c r="D12" s="83" t="s">
        <v>163</v>
      </c>
    </row>
    <row r="13" spans="1:15" x14ac:dyDescent="0.3">
      <c r="A13" s="93"/>
      <c r="B13" s="93"/>
      <c r="C13" s="84"/>
      <c r="D13" s="83" t="str">
        <f>CONCATENATE("a. Update Mortality with ", E1," ERISA 4050 Mortality [cells C5:C125]; also update links [cell H2 and H11], if necessary.")</f>
        <v>a. Update Mortality with 2026 ERISA 4050 Mortality [cells C5:C125]; also update links [cell H2 and H11], if necessary.</v>
      </c>
    </row>
    <row r="14" spans="1:15" x14ac:dyDescent="0.3">
      <c r="A14" s="93"/>
      <c r="B14" s="93"/>
      <c r="C14" s="84"/>
    </row>
    <row r="15" spans="1:15" x14ac:dyDescent="0.3">
      <c r="A15" s="92" t="s">
        <v>159</v>
      </c>
      <c r="B15" s="91" t="s">
        <v>187</v>
      </c>
      <c r="C15" s="84">
        <v>5</v>
      </c>
      <c r="D15" s="83" t="s">
        <v>164</v>
      </c>
    </row>
    <row r="16" spans="1:15" ht="30.4" customHeight="1" x14ac:dyDescent="0.3">
      <c r="A16" s="93"/>
      <c r="B16" s="93"/>
      <c r="C16" s="84"/>
      <c r="D16" s="420" t="str">
        <f>CONCATENATE("a. Update yield curve with ", E1," ERISA 4044 yield curve [cells C7:C66]; also update links [cell K6 and K12], if necessary. Note that for 2024, the yield curve was as of 7/31/2024. Thereafter, the yield curve will be as of the prior 12/31.")</f>
        <v>a. Update yield curve with 2026 ERISA 4044 yield curve [cells C7:C66]; also update links [cell K6 and K12], if necessary. Note that for 2024, the yield curve was as of 7/31/2024. Thereafter, the yield curve will be as of the prior 12/31.</v>
      </c>
      <c r="E16" s="420"/>
      <c r="F16" s="420"/>
      <c r="G16" s="420"/>
      <c r="H16" s="420"/>
      <c r="I16" s="420"/>
      <c r="J16" s="420"/>
      <c r="K16" s="420"/>
      <c r="L16" s="420"/>
      <c r="M16" s="420"/>
      <c r="N16" s="420"/>
      <c r="O16" s="420"/>
    </row>
    <row r="17" spans="1:20" x14ac:dyDescent="0.3">
      <c r="A17" s="93"/>
      <c r="B17" s="93"/>
      <c r="C17" s="84"/>
    </row>
    <row r="18" spans="1:20" x14ac:dyDescent="0.3">
      <c r="A18" s="83"/>
      <c r="B18" s="83"/>
      <c r="C18" s="84">
        <v>4</v>
      </c>
      <c r="D18" s="83" t="s">
        <v>165</v>
      </c>
    </row>
    <row r="19" spans="1:20" x14ac:dyDescent="0.3">
      <c r="A19" s="92" t="s">
        <v>159</v>
      </c>
      <c r="B19" s="91" t="s">
        <v>187</v>
      </c>
      <c r="C19" s="84"/>
      <c r="D19" s="83" t="s">
        <v>166</v>
      </c>
    </row>
    <row r="20" spans="1:20" ht="28.9" customHeight="1" x14ac:dyDescent="0.3">
      <c r="A20" s="92" t="s">
        <v>159</v>
      </c>
      <c r="B20" s="315" t="s">
        <v>187</v>
      </c>
      <c r="D20" s="420" t="str">
        <f>CONCATENATE("b. Update data validation and error message for cell E4, typically replacing ",E1-1," with ",E1,". Note that for the initial year that the yield curves are effective, the period should be 7/31/2024 through 12/31/2024.  Thereafter, it should be 1/1 through 12/31 for the applicable year.")</f>
        <v>b. Update data validation and error message for cell E4, typically replacing 2025 with 2026. Note that for the initial year that the yield curves are effective, the period should be 7/31/2024 through 12/31/2024.  Thereafter, it should be 1/1 through 12/31 for the applicable year.</v>
      </c>
      <c r="E20" s="420"/>
      <c r="F20" s="420"/>
      <c r="G20" s="420"/>
      <c r="H20" s="420"/>
      <c r="I20" s="420"/>
      <c r="J20" s="420"/>
      <c r="K20" s="420"/>
      <c r="L20" s="420"/>
      <c r="M20" s="420"/>
      <c r="N20" s="420"/>
      <c r="O20" s="420"/>
      <c r="P20" s="420"/>
      <c r="Q20" s="420"/>
      <c r="R20" s="420"/>
      <c r="S20" s="420"/>
      <c r="T20" s="420"/>
    </row>
    <row r="21" spans="1:20" x14ac:dyDescent="0.3">
      <c r="A21" s="93"/>
      <c r="D21" s="88" t="str">
        <f>"{Data|Data Validation}; For 2025 and beyond, change Start Date to 01/01 of the current year and End Date to 12/31 of the current year"</f>
        <v>{Data|Data Validation}; For 2025 and beyond, change Start Date to 01/01 of the current year and End Date to 12/31 of the current year</v>
      </c>
      <c r="E21" s="94"/>
    </row>
    <row r="22" spans="1:20" x14ac:dyDescent="0.3">
      <c r="A22" s="93"/>
      <c r="D22" s="83" t="s">
        <v>167</v>
      </c>
    </row>
    <row r="23" spans="1:20" x14ac:dyDescent="0.3">
      <c r="A23" s="92" t="s">
        <v>159</v>
      </c>
      <c r="B23" s="91" t="s">
        <v>187</v>
      </c>
      <c r="D23" s="83" t="str">
        <f>"c. For 2024, the Benefit Determination Date in line 1 should be 7/31/2024. For 2025 and beyond, change the Benefit Determination Date in line 1 to 1/1 of the current year."</f>
        <v>c. For 2024, the Benefit Determination Date in line 1 should be 7/31/2024. For 2025 and beyond, change the Benefit Determination Date in line 1 to 1/1 of the current year.</v>
      </c>
    </row>
    <row r="24" spans="1:20" x14ac:dyDescent="0.3">
      <c r="A24" s="92" t="s">
        <v>159</v>
      </c>
      <c r="B24" s="91" t="s">
        <v>187</v>
      </c>
      <c r="D24" s="83" t="s">
        <v>168</v>
      </c>
    </row>
    <row r="25" spans="1:20" x14ac:dyDescent="0.3">
      <c r="A25" s="93"/>
      <c r="D25" s="88"/>
    </row>
    <row r="26" spans="1:20" x14ac:dyDescent="0.3">
      <c r="A26" s="83"/>
      <c r="B26" s="83"/>
      <c r="C26" s="84">
        <v>5</v>
      </c>
      <c r="D26" s="85" t="s">
        <v>169</v>
      </c>
    </row>
    <row r="27" spans="1:20" x14ac:dyDescent="0.3">
      <c r="A27" s="92" t="s">
        <v>159</v>
      </c>
      <c r="B27" s="91" t="s">
        <v>187</v>
      </c>
      <c r="C27" s="84"/>
      <c r="D27" s="83" t="s">
        <v>170</v>
      </c>
    </row>
    <row r="28" spans="1:20" ht="28.9" customHeight="1" x14ac:dyDescent="0.3">
      <c r="A28" s="92" t="s">
        <v>159</v>
      </c>
      <c r="B28" s="315" t="s">
        <v>187</v>
      </c>
      <c r="D28" s="420" t="str">
        <f>CONCATENATE("b. Update data validation and error message for cell E4, typically replacing ",E1-1," with ",E1,". Note that for the initial year that the yield curves are effective, the period should be 7/31/2024 through 12/31/2024.  Thereafter, it should be 1/1 through 12/31 for the applicable year.")</f>
        <v>b. Update data validation and error message for cell E4, typically replacing 2025 with 2026. Note that for the initial year that the yield curves are effective, the period should be 7/31/2024 through 12/31/2024.  Thereafter, it should be 1/1 through 12/31 for the applicable year.</v>
      </c>
      <c r="E28" s="420"/>
      <c r="F28" s="420"/>
      <c r="G28" s="420"/>
      <c r="H28" s="420"/>
      <c r="I28" s="420"/>
      <c r="J28" s="420"/>
      <c r="K28" s="420"/>
      <c r="L28" s="420"/>
      <c r="M28" s="420"/>
      <c r="N28" s="420"/>
      <c r="O28" s="420"/>
      <c r="P28" s="420"/>
      <c r="Q28" s="420"/>
      <c r="R28" s="420"/>
      <c r="S28" s="420"/>
      <c r="T28" s="420"/>
    </row>
    <row r="29" spans="1:20" x14ac:dyDescent="0.3">
      <c r="A29" s="93"/>
      <c r="D29" s="88" t="str">
        <f>"{Data|Data Validation}; For 2025 and beyond, change Start Date to 01/01 of the current year and End Date to 12/31 of the current year"</f>
        <v>{Data|Data Validation}; For 2025 and beyond, change Start Date to 01/01 of the current year and End Date to 12/31 of the current year</v>
      </c>
    </row>
    <row r="30" spans="1:20" x14ac:dyDescent="0.3">
      <c r="A30" s="93"/>
      <c r="D30" s="83" t="s">
        <v>167</v>
      </c>
    </row>
    <row r="31" spans="1:20" x14ac:dyDescent="0.3">
      <c r="A31" s="92" t="s">
        <v>159</v>
      </c>
      <c r="B31" s="91" t="s">
        <v>187</v>
      </c>
      <c r="D31" s="83" t="str">
        <f>"c. For 2024, the Benefit Determination Date in line should be 7/31/2024. For 2025 and beyond, change the Benefit Determination Date in line 1 to 1/1 of the current year."</f>
        <v>c. For 2024, the Benefit Determination Date in line should be 7/31/2024. For 2025 and beyond, change the Benefit Determination Date in line 1 to 1/1 of the current year.</v>
      </c>
    </row>
    <row r="32" spans="1:20" x14ac:dyDescent="0.3">
      <c r="A32" s="93"/>
      <c r="D32" s="85"/>
    </row>
    <row r="33" spans="1:20" x14ac:dyDescent="0.3">
      <c r="A33" s="93"/>
      <c r="C33" s="84">
        <v>6</v>
      </c>
      <c r="D33" s="83" t="s">
        <v>171</v>
      </c>
    </row>
    <row r="34" spans="1:20" x14ac:dyDescent="0.3">
      <c r="A34" s="92" t="s">
        <v>159</v>
      </c>
      <c r="B34" s="91" t="s">
        <v>187</v>
      </c>
      <c r="C34" s="87"/>
      <c r="D34" s="83" t="str">
        <f>CONCATENATE("a. Make sure the mortality rates [cells G7:G127] are properly referencing the correct rates from the 4050 Mortality sheet.")</f>
        <v>a. Make sure the mortality rates [cells G7:G127] are properly referencing the correct rates from the 4050 Mortality sheet.</v>
      </c>
    </row>
    <row r="35" spans="1:20" x14ac:dyDescent="0.3">
      <c r="A35" s="92" t="s">
        <v>159</v>
      </c>
      <c r="B35" s="91" t="s">
        <v>187</v>
      </c>
      <c r="D35" s="83" t="str">
        <f>CONCATENATE("b. Make sure the yield curve rates [L7:L127] &amp; [S7:S127] are selecting the half-year rates from the 4044 Yield Curves sheet.")</f>
        <v>b. Make sure the yield curve rates [L7:L127] &amp; [S7:S127] are selecting the half-year rates from the 4044 Yield Curves sheet.</v>
      </c>
    </row>
    <row r="36" spans="1:20" x14ac:dyDescent="0.3">
      <c r="A36" s="93"/>
    </row>
    <row r="37" spans="1:20" x14ac:dyDescent="0.3">
      <c r="A37" s="248"/>
      <c r="C37" s="84">
        <v>7</v>
      </c>
      <c r="D37" s="83" t="s">
        <v>172</v>
      </c>
    </row>
    <row r="38" spans="1:20" x14ac:dyDescent="0.3">
      <c r="A38" s="92" t="s">
        <v>159</v>
      </c>
      <c r="B38" s="91" t="s">
        <v>187</v>
      </c>
      <c r="D38" s="83" t="str">
        <f>CONCATENATE("a. Make sure the mortality rates [cells F7:F127] are properly referencing the correct rates from the 4050 Mortality sheet.")</f>
        <v>a. Make sure the mortality rates [cells F7:F127] are properly referencing the correct rates from the 4050 Mortality sheet.</v>
      </c>
    </row>
    <row r="39" spans="1:20" x14ac:dyDescent="0.3">
      <c r="A39" s="92" t="s">
        <v>159</v>
      </c>
      <c r="B39" s="91" t="s">
        <v>187</v>
      </c>
      <c r="D39" s="83" t="str">
        <f>CONCATENATE("b. Make sure the yield curve rates [k7:K127] &amp; [Q7:Q127] are selecting the half-year rates from the 4044 Yield Curves sheet.")</f>
        <v>b. Make sure the yield curve rates [k7:K127] &amp; [Q7:Q127] are selecting the half-year rates from the 4044 Yield Curves sheet.</v>
      </c>
    </row>
    <row r="40" spans="1:20" x14ac:dyDescent="0.3">
      <c r="A40" s="93"/>
      <c r="D40" s="86"/>
    </row>
    <row r="41" spans="1:20" x14ac:dyDescent="0.3">
      <c r="A41" s="93"/>
      <c r="C41" s="84">
        <v>8</v>
      </c>
      <c r="D41" s="85" t="s">
        <v>173</v>
      </c>
    </row>
    <row r="42" spans="1:20" ht="49.15" customHeight="1" x14ac:dyDescent="0.3">
      <c r="A42" s="92" t="s">
        <v>159</v>
      </c>
      <c r="B42" s="91"/>
      <c r="D42" s="419" t="s">
        <v>174</v>
      </c>
      <c r="E42" s="419"/>
      <c r="F42" s="419"/>
      <c r="G42" s="419"/>
      <c r="H42" s="419"/>
      <c r="I42" s="419"/>
      <c r="J42" s="419"/>
      <c r="K42" s="419"/>
      <c r="L42" s="419"/>
      <c r="M42" s="419"/>
      <c r="N42" s="419"/>
      <c r="O42" s="419"/>
      <c r="P42" s="419"/>
      <c r="Q42" s="419"/>
      <c r="R42" s="419"/>
      <c r="S42" s="419"/>
      <c r="T42" s="419"/>
    </row>
    <row r="43" spans="1:20" ht="30.75" customHeight="1" x14ac:dyDescent="0.3">
      <c r="A43" s="92" t="s">
        <v>159</v>
      </c>
      <c r="B43" s="91"/>
      <c r="D43" s="418" t="s">
        <v>175</v>
      </c>
      <c r="E43" s="418"/>
      <c r="F43" s="418"/>
      <c r="G43" s="418"/>
      <c r="H43" s="418"/>
      <c r="I43" s="418"/>
      <c r="J43" s="418"/>
      <c r="K43" s="418"/>
      <c r="L43" s="418"/>
      <c r="M43" s="418"/>
      <c r="N43" s="418"/>
      <c r="O43" s="418"/>
      <c r="P43" s="418"/>
      <c r="Q43" s="418"/>
      <c r="R43" s="418"/>
      <c r="S43" s="418"/>
      <c r="T43" s="418"/>
    </row>
    <row r="44" spans="1:20" x14ac:dyDescent="0.3">
      <c r="A44" s="92" t="s">
        <v>159</v>
      </c>
      <c r="B44" s="91"/>
      <c r="D44" s="85" t="s">
        <v>176</v>
      </c>
    </row>
    <row r="45" spans="1:20" x14ac:dyDescent="0.3">
      <c r="D45" s="85"/>
    </row>
    <row r="47" spans="1:20" x14ac:dyDescent="0.3">
      <c r="A47" s="82" t="s">
        <v>177</v>
      </c>
    </row>
    <row r="48" spans="1:20" x14ac:dyDescent="0.3">
      <c r="A48" s="83" t="s">
        <v>178</v>
      </c>
      <c r="D48" s="83" t="s">
        <v>179</v>
      </c>
    </row>
    <row r="49" spans="1:4" x14ac:dyDescent="0.3">
      <c r="A49" s="83" t="s">
        <v>180</v>
      </c>
      <c r="D49" s="83" t="s">
        <v>181</v>
      </c>
    </row>
    <row r="51" spans="1:4" x14ac:dyDescent="0.3">
      <c r="A51" s="83" t="s">
        <v>182</v>
      </c>
      <c r="D51" s="83" t="s">
        <v>183</v>
      </c>
    </row>
    <row r="52" spans="1:4" x14ac:dyDescent="0.3">
      <c r="D52" s="83" t="s">
        <v>184</v>
      </c>
    </row>
    <row r="54" spans="1:4" x14ac:dyDescent="0.3">
      <c r="A54" s="83" t="s">
        <v>185</v>
      </c>
      <c r="D54" s="83" t="s">
        <v>184</v>
      </c>
    </row>
  </sheetData>
  <mergeCells count="5">
    <mergeCell ref="D43:T43"/>
    <mergeCell ref="D42:T42"/>
    <mergeCell ref="D16:O16"/>
    <mergeCell ref="D20:T20"/>
    <mergeCell ref="D28:T28"/>
  </mergeCells>
  <pageMargins left="0.7" right="0.7" top="0.75" bottom="0.75" header="0.3" footer="0.3"/>
  <pageSetup paperSize="5" scale="9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FFFF00"/>
    <pageSetUpPr fitToPage="1"/>
  </sheetPr>
  <dimension ref="A1:J20"/>
  <sheetViews>
    <sheetView showGridLines="0" tabSelected="1" zoomScaleNormal="100" zoomScaleSheetLayoutView="110" workbookViewId="0">
      <selection activeCell="E4" sqref="E4"/>
    </sheetView>
  </sheetViews>
  <sheetFormatPr defaultColWidth="9.26953125" defaultRowHeight="12.5" x14ac:dyDescent="0.25"/>
  <cols>
    <col min="1" max="1" width="2.54296875" style="102" customWidth="1"/>
    <col min="2" max="2" width="3.26953125" style="102" customWidth="1"/>
    <col min="3" max="3" width="3.26953125" style="101" customWidth="1"/>
    <col min="4" max="4" width="83.7265625" style="101" customWidth="1"/>
    <col min="5" max="5" width="26.7265625" style="100" customWidth="1"/>
    <col min="6" max="6" width="1.54296875" style="100" customWidth="1"/>
    <col min="7" max="7" width="77.7265625" style="100" customWidth="1"/>
    <col min="8" max="8" width="25.7265625" style="101" customWidth="1"/>
    <col min="9" max="16384" width="9.26953125" style="102"/>
  </cols>
  <sheetData>
    <row r="1" spans="1:10" s="98" customFormat="1" ht="18.75" customHeight="1" x14ac:dyDescent="0.35">
      <c r="A1" s="95"/>
      <c r="B1" s="377" t="s">
        <v>41</v>
      </c>
      <c r="C1" s="377"/>
      <c r="D1" s="377"/>
      <c r="E1" s="377"/>
      <c r="F1" s="96"/>
      <c r="G1" s="179"/>
      <c r="H1" s="97"/>
    </row>
    <row r="2" spans="1:10" s="98" customFormat="1" ht="25.15" customHeight="1" thickBot="1" x14ac:dyDescent="0.4">
      <c r="A2" s="95"/>
      <c r="B2" s="379" t="s">
        <v>42</v>
      </c>
      <c r="C2" s="379"/>
      <c r="D2" s="379"/>
      <c r="E2" s="379"/>
      <c r="F2" s="96"/>
      <c r="G2" s="96"/>
      <c r="H2" s="97"/>
    </row>
    <row r="3" spans="1:10" ht="34.9" customHeight="1" thickBot="1" x14ac:dyDescent="0.3">
      <c r="A3" s="99"/>
      <c r="B3" s="381" t="s">
        <v>43</v>
      </c>
      <c r="C3" s="382"/>
      <c r="D3" s="382"/>
      <c r="E3" s="383"/>
    </row>
    <row r="4" spans="1:10" ht="18.75" customHeight="1" x14ac:dyDescent="0.25">
      <c r="A4" s="103"/>
      <c r="B4" s="150" t="s">
        <v>44</v>
      </c>
      <c r="C4" s="151" t="s">
        <v>45</v>
      </c>
      <c r="D4" s="151"/>
      <c r="E4" s="152">
        <v>46023</v>
      </c>
      <c r="F4" s="104"/>
      <c r="G4" s="105"/>
    </row>
    <row r="5" spans="1:10" ht="18.75" customHeight="1" x14ac:dyDescent="0.25">
      <c r="A5" s="106"/>
      <c r="B5" s="153" t="s">
        <v>38</v>
      </c>
      <c r="C5" s="107" t="s">
        <v>46</v>
      </c>
      <c r="D5" s="107"/>
      <c r="E5" s="154"/>
      <c r="F5" s="108"/>
      <c r="G5" s="109"/>
      <c r="H5" s="110"/>
    </row>
    <row r="6" spans="1:10" ht="18.75" customHeight="1" x14ac:dyDescent="0.25">
      <c r="A6" s="111"/>
      <c r="B6" s="155"/>
      <c r="C6" s="112" t="s">
        <v>47</v>
      </c>
      <c r="D6" s="112" t="s">
        <v>48</v>
      </c>
      <c r="E6" s="156" t="s">
        <v>49</v>
      </c>
      <c r="F6" s="104"/>
      <c r="G6" s="113"/>
      <c r="H6" s="114"/>
    </row>
    <row r="7" spans="1:10" ht="18.75" customHeight="1" x14ac:dyDescent="0.25">
      <c r="A7" s="111"/>
      <c r="B7" s="155"/>
      <c r="C7" s="112" t="s">
        <v>50</v>
      </c>
      <c r="D7" s="112" t="s">
        <v>51</v>
      </c>
      <c r="E7" s="157">
        <v>27708</v>
      </c>
      <c r="F7" s="104"/>
      <c r="G7" s="113"/>
    </row>
    <row r="8" spans="1:10" ht="18.75" customHeight="1" x14ac:dyDescent="0.25">
      <c r="A8" s="99"/>
      <c r="B8" s="155"/>
      <c r="C8" s="115" t="s">
        <v>52</v>
      </c>
      <c r="D8" s="112" t="s">
        <v>53</v>
      </c>
      <c r="E8" s="158">
        <f>'Annuity Factor Calcs'!D4</f>
        <v>50.083300000000001</v>
      </c>
      <c r="F8" s="116"/>
      <c r="G8" s="113"/>
    </row>
    <row r="9" spans="1:10" ht="24" customHeight="1" x14ac:dyDescent="0.25">
      <c r="A9" s="99"/>
      <c r="B9" s="155"/>
      <c r="C9" s="112" t="s">
        <v>54</v>
      </c>
      <c r="D9" s="112" t="s">
        <v>55</v>
      </c>
      <c r="E9" s="157">
        <v>47818</v>
      </c>
      <c r="G9" s="297" t="str">
        <f>IF(E9&lt;=E4,"Based on the information entered above, this individual is at or past NRA. If the information entered is correct, use the On or After NRA tab.","")</f>
        <v/>
      </c>
      <c r="H9" s="117"/>
      <c r="I9" s="117"/>
      <c r="J9" s="117"/>
    </row>
    <row r="10" spans="1:10" ht="18.75" customHeight="1" x14ac:dyDescent="0.25">
      <c r="A10" s="106"/>
      <c r="B10" s="159" t="s">
        <v>56</v>
      </c>
      <c r="C10" s="385" t="s">
        <v>57</v>
      </c>
      <c r="D10" s="385"/>
      <c r="E10" s="160"/>
      <c r="F10" s="117"/>
      <c r="G10" s="118"/>
      <c r="H10" s="117"/>
      <c r="I10" s="117"/>
      <c r="J10" s="117"/>
    </row>
    <row r="11" spans="1:10" ht="23.65" customHeight="1" x14ac:dyDescent="0.25">
      <c r="A11" s="111"/>
      <c r="B11" s="161"/>
      <c r="C11" s="119" t="s">
        <v>47</v>
      </c>
      <c r="D11" s="350" t="s">
        <v>58</v>
      </c>
      <c r="E11" s="162">
        <v>65</v>
      </c>
      <c r="F11" s="104"/>
      <c r="G11" s="297" t="str">
        <f>IF(E11&gt;65,"You've entered an age after age 65.  Please review the instructions and double check your entry before proceeding.","")</f>
        <v/>
      </c>
    </row>
    <row r="12" spans="1:10" ht="24" customHeight="1" x14ac:dyDescent="0.25">
      <c r="A12" s="106"/>
      <c r="B12" s="159"/>
      <c r="C12" s="119" t="s">
        <v>50</v>
      </c>
      <c r="D12" s="119" t="s">
        <v>59</v>
      </c>
      <c r="E12" s="163">
        <v>60</v>
      </c>
      <c r="F12" s="117"/>
      <c r="G12" s="298" t="str">
        <f>IF(E12&gt;E11,"You've entered an age that's greater than the age entered in Line 3a.  Please review and revise whichever entry is incorrect. Otherwise, contact PBGC for assistance.","")</f>
        <v/>
      </c>
      <c r="H12" s="117"/>
      <c r="I12" s="117"/>
      <c r="J12" s="117"/>
    </row>
    <row r="13" spans="1:10" ht="18.75" customHeight="1" x14ac:dyDescent="0.25">
      <c r="A13" s="106"/>
      <c r="B13" s="153" t="s">
        <v>60</v>
      </c>
      <c r="C13" s="107" t="s">
        <v>61</v>
      </c>
      <c r="D13" s="107"/>
      <c r="E13" s="164"/>
      <c r="F13" s="120"/>
      <c r="G13" s="118"/>
      <c r="H13" s="120"/>
    </row>
    <row r="14" spans="1:10" ht="18.75" customHeight="1" x14ac:dyDescent="0.25">
      <c r="A14" s="111"/>
      <c r="B14" s="159" t="s">
        <v>62</v>
      </c>
      <c r="C14" s="165" t="s">
        <v>47</v>
      </c>
      <c r="D14" s="119" t="s">
        <v>63</v>
      </c>
      <c r="E14" s="166">
        <f>XRA_Table2C!A6</f>
        <v>60</v>
      </c>
      <c r="F14" s="104"/>
      <c r="G14" s="81"/>
    </row>
    <row r="15" spans="1:10" ht="33.75" customHeight="1" x14ac:dyDescent="0.25">
      <c r="B15" s="155"/>
      <c r="C15" s="121" t="s">
        <v>50</v>
      </c>
      <c r="D15" s="350" t="s">
        <v>64</v>
      </c>
      <c r="E15" s="167">
        <f ca="1">ROUND(XRA_Table2C!C10,0)</f>
        <v>62</v>
      </c>
      <c r="F15" s="122"/>
      <c r="G15" s="120"/>
      <c r="H15" s="120"/>
    </row>
    <row r="16" spans="1:10" ht="33.75" customHeight="1" x14ac:dyDescent="0.25">
      <c r="B16" s="155"/>
      <c r="C16" s="119" t="s">
        <v>65</v>
      </c>
      <c r="D16" s="350" t="s">
        <v>66</v>
      </c>
      <c r="E16" s="168">
        <v>100</v>
      </c>
      <c r="F16" s="123"/>
      <c r="G16" s="120"/>
      <c r="H16" s="120"/>
    </row>
    <row r="17" spans="2:8" ht="33.75" customHeight="1" thickBot="1" x14ac:dyDescent="0.3">
      <c r="B17" s="169" t="s">
        <v>67</v>
      </c>
      <c r="C17" s="384" t="s">
        <v>68</v>
      </c>
      <c r="D17" s="384"/>
      <c r="E17" s="170">
        <f ca="1">IF(E9&lt;=E4,"N/A",ROUND(E16*AnnuFact_Before_NRD!C13*12,2))</f>
        <v>7825.63</v>
      </c>
      <c r="F17" s="124"/>
      <c r="G17" s="354"/>
      <c r="H17" s="211"/>
    </row>
    <row r="18" spans="2:8" ht="15.5" x14ac:dyDescent="0.25">
      <c r="B18" s="115"/>
      <c r="C18" s="112"/>
      <c r="D18" s="378"/>
      <c r="E18" s="378"/>
    </row>
    <row r="19" spans="2:8" x14ac:dyDescent="0.25">
      <c r="E19" s="125"/>
    </row>
    <row r="20" spans="2:8" ht="59.25" customHeight="1" x14ac:dyDescent="0.5">
      <c r="D20" s="380"/>
      <c r="E20" s="380"/>
    </row>
  </sheetData>
  <sheetProtection algorithmName="SHA-512" hashValue="E/urWczCSrZr6h5PKM9P2xNng2bi/zIZB8kTpgDD6TtXcqT57hacYZlmBrPd3+tAEv4lSnr/+9OztyYy/Aj3Xg==" saltValue="nigNoqHzvH2NwQViLtLhng==" spinCount="100000" sheet="1" selectLockedCells="1"/>
  <dataConsolidate/>
  <mergeCells count="7">
    <mergeCell ref="B1:E1"/>
    <mergeCell ref="D18:E18"/>
    <mergeCell ref="B2:E2"/>
    <mergeCell ref="D20:E20"/>
    <mergeCell ref="B3:E3"/>
    <mergeCell ref="C17:D17"/>
    <mergeCell ref="C10:D10"/>
  </mergeCells>
  <dataValidations count="2">
    <dataValidation type="custom" showErrorMessage="1" errorTitle="Enter age or &quot;BTD&quot;" error="Must be a number or &quot;BTD&quot; (without the quotes)." prompt="Enter age or &quot;BTD&quot;" sqref="E14 E11" xr:uid="{00000000-0002-0000-0100-000001000000}">
      <formula1>OR(E11="BTD",ISNUMBER(E11))</formula1>
    </dataValidation>
    <dataValidation type="date" allowBlank="1" showErrorMessage="1" errorTitle="Data Input Error" error="The Benefit Determination Date must be a date from 1/1/2026 through 12/31/2026." prompt="Enter a date greater than or equal to 7/31/2024 and less than or equal to 12/31/2024." sqref="E4" xr:uid="{15CCFB4B-F00C-4405-954D-44161D6B5E5E}">
      <formula1>46023</formula1>
      <formula2>46387</formula2>
    </dataValidation>
  </dataValidations>
  <pageMargins left="0.25" right="0.25" top="0.75" bottom="0.75" header="0.3" footer="0.3"/>
  <pageSetup scale="86" orientation="portrait" r:id="rId1"/>
  <ignoredErrors>
    <ignoredError sqref="B4:B17"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9" tint="0.39997558519241921"/>
    <pageSetUpPr fitToPage="1"/>
  </sheetPr>
  <dimension ref="A1:O23"/>
  <sheetViews>
    <sheetView showGridLines="0" zoomScaleNormal="100" zoomScaleSheetLayoutView="110" workbookViewId="0">
      <selection activeCell="E9" sqref="E9"/>
    </sheetView>
  </sheetViews>
  <sheetFormatPr defaultColWidth="9.26953125" defaultRowHeight="15.5" x14ac:dyDescent="0.35"/>
  <cols>
    <col min="1" max="1" width="2.54296875" style="98" customWidth="1"/>
    <col min="2" max="2" width="3.26953125" style="98" customWidth="1"/>
    <col min="3" max="3" width="3.26953125" style="97" customWidth="1"/>
    <col min="4" max="4" width="75.7265625" style="97" customWidth="1"/>
    <col min="5" max="5" width="26.7265625" style="96" customWidth="1"/>
    <col min="6" max="6" width="3.54296875" style="96" customWidth="1"/>
    <col min="7" max="7" width="53" style="98" customWidth="1"/>
    <col min="8" max="16384" width="9.26953125" style="98"/>
  </cols>
  <sheetData>
    <row r="1" spans="1:15" ht="18.75" customHeight="1" x14ac:dyDescent="0.35">
      <c r="A1" s="95"/>
      <c r="B1" s="377" t="s">
        <v>41</v>
      </c>
      <c r="C1" s="377"/>
      <c r="D1" s="377"/>
      <c r="E1" s="377"/>
      <c r="G1" s="179"/>
      <c r="H1" s="97"/>
    </row>
    <row r="2" spans="1:15" ht="25.15" customHeight="1" thickBot="1" x14ac:dyDescent="0.4">
      <c r="A2" s="95"/>
      <c r="B2" s="379" t="s">
        <v>69</v>
      </c>
      <c r="C2" s="379"/>
      <c r="D2" s="379"/>
      <c r="E2" s="379"/>
      <c r="G2" s="96"/>
      <c r="H2" s="97"/>
    </row>
    <row r="3" spans="1:15" s="128" customFormat="1" ht="34.9" customHeight="1" thickBot="1" x14ac:dyDescent="0.4">
      <c r="A3" s="126"/>
      <c r="B3" s="381" t="s">
        <v>70</v>
      </c>
      <c r="C3" s="382"/>
      <c r="D3" s="382"/>
      <c r="E3" s="383"/>
      <c r="F3" s="127"/>
    </row>
    <row r="4" spans="1:15" s="130" customFormat="1" ht="18.75" customHeight="1" x14ac:dyDescent="0.25">
      <c r="A4" s="129"/>
      <c r="B4" s="171" t="s">
        <v>36</v>
      </c>
      <c r="C4" s="151" t="s">
        <v>45</v>
      </c>
      <c r="D4" s="151"/>
      <c r="E4" s="152">
        <v>46023</v>
      </c>
      <c r="F4" s="104"/>
    </row>
    <row r="5" spans="1:15" s="130" customFormat="1" ht="18.75" customHeight="1" x14ac:dyDescent="0.25">
      <c r="A5" s="131"/>
      <c r="B5" s="172" t="s">
        <v>38</v>
      </c>
      <c r="C5" s="107" t="s">
        <v>46</v>
      </c>
      <c r="D5" s="107"/>
      <c r="E5" s="173"/>
    </row>
    <row r="6" spans="1:15" s="115" customFormat="1" ht="18.75" customHeight="1" x14ac:dyDescent="0.25">
      <c r="A6" s="132"/>
      <c r="B6" s="155"/>
      <c r="C6" s="112" t="s">
        <v>47</v>
      </c>
      <c r="D6" s="112" t="s">
        <v>48</v>
      </c>
      <c r="E6" s="156" t="s">
        <v>71</v>
      </c>
      <c r="F6" s="104"/>
    </row>
    <row r="7" spans="1:15" s="115" customFormat="1" ht="18.75" customHeight="1" x14ac:dyDescent="0.25">
      <c r="A7" s="132"/>
      <c r="B7" s="155"/>
      <c r="C7" s="112" t="s">
        <v>50</v>
      </c>
      <c r="D7" s="107" t="s">
        <v>51</v>
      </c>
      <c r="E7" s="157">
        <v>20225</v>
      </c>
      <c r="F7" s="104"/>
    </row>
    <row r="8" spans="1:15" s="115" customFormat="1" ht="18.75" customHeight="1" x14ac:dyDescent="0.25">
      <c r="A8" s="132"/>
      <c r="B8" s="155"/>
      <c r="C8" s="112" t="s">
        <v>65</v>
      </c>
      <c r="D8" s="112" t="s">
        <v>53</v>
      </c>
      <c r="E8" s="158">
        <f>'Annuity Factor Calcs'!D18</f>
        <v>70.583299999999994</v>
      </c>
      <c r="F8" s="133"/>
      <c r="G8" s="352"/>
    </row>
    <row r="9" spans="1:15" s="115" customFormat="1" ht="18.75" customHeight="1" x14ac:dyDescent="0.25">
      <c r="A9" s="132"/>
      <c r="B9" s="155"/>
      <c r="C9" s="112" t="s">
        <v>54</v>
      </c>
      <c r="D9" s="112" t="s">
        <v>72</v>
      </c>
      <c r="E9" s="157">
        <v>43983</v>
      </c>
      <c r="G9" s="353" t="str">
        <f>IF(E9&gt;E4, "The NRD is after the BDD. Please double check your entry before proceeding.","")</f>
        <v/>
      </c>
      <c r="H9" s="134"/>
      <c r="I9" s="134"/>
      <c r="J9" s="134"/>
      <c r="K9" s="386"/>
      <c r="L9" s="386"/>
      <c r="M9" s="386"/>
      <c r="N9" s="386"/>
      <c r="O9" s="386"/>
    </row>
    <row r="10" spans="1:15" s="115" customFormat="1" ht="33.75" customHeight="1" x14ac:dyDescent="0.25">
      <c r="A10" s="129"/>
      <c r="B10" s="174" t="s">
        <v>56</v>
      </c>
      <c r="C10" s="389" t="s">
        <v>73</v>
      </c>
      <c r="D10" s="389"/>
      <c r="E10" s="168">
        <v>100</v>
      </c>
      <c r="F10" s="134"/>
      <c r="G10" s="307"/>
      <c r="H10" s="134"/>
      <c r="I10" s="134"/>
      <c r="J10" s="134"/>
    </row>
    <row r="11" spans="1:15" s="115" customFormat="1" ht="33.75" customHeight="1" thickBot="1" x14ac:dyDescent="0.3">
      <c r="B11" s="175" t="s">
        <v>60</v>
      </c>
      <c r="C11" s="384" t="s">
        <v>74</v>
      </c>
      <c r="D11" s="384"/>
      <c r="E11" s="170">
        <f>IF(E9&gt;E4,"N/A",ROUND(E10*12*'Annuity Factor Calcs'!D19,2))</f>
        <v>12924.4</v>
      </c>
      <c r="F11" s="135"/>
      <c r="G11" s="270"/>
      <c r="H11" s="107"/>
    </row>
    <row r="12" spans="1:15" s="121" customFormat="1" ht="13.5" customHeight="1" x14ac:dyDescent="0.35">
      <c r="A12" s="136"/>
      <c r="B12" s="137"/>
      <c r="C12" s="137"/>
      <c r="D12" s="137"/>
      <c r="E12" s="138"/>
      <c r="F12" s="139"/>
    </row>
    <row r="13" spans="1:15" s="121" customFormat="1" ht="45.75" customHeight="1" x14ac:dyDescent="0.35">
      <c r="B13" s="387" t="s">
        <v>75</v>
      </c>
      <c r="C13" s="387"/>
      <c r="D13" s="387"/>
      <c r="E13" s="387"/>
      <c r="F13" s="140"/>
    </row>
    <row r="14" spans="1:15" s="121" customFormat="1" ht="10.5" customHeight="1" x14ac:dyDescent="0.35">
      <c r="B14" s="141"/>
      <c r="C14" s="141"/>
      <c r="D14" s="141"/>
      <c r="E14" s="141"/>
      <c r="F14" s="140"/>
    </row>
    <row r="15" spans="1:15" s="121" customFormat="1" ht="12.75" customHeight="1" x14ac:dyDescent="0.35">
      <c r="A15" s="142"/>
      <c r="B15" s="176" t="s">
        <v>76</v>
      </c>
      <c r="D15" s="143"/>
      <c r="F15" s="142"/>
    </row>
    <row r="16" spans="1:15" x14ac:dyDescent="0.35">
      <c r="A16" s="144"/>
      <c r="B16" s="144"/>
      <c r="E16" s="145"/>
      <c r="F16" s="145"/>
    </row>
    <row r="17" spans="1:6" x14ac:dyDescent="0.35">
      <c r="A17" s="144"/>
      <c r="B17" s="144"/>
      <c r="E17" s="145"/>
      <c r="F17" s="145"/>
    </row>
    <row r="18" spans="1:6" x14ac:dyDescent="0.35">
      <c r="A18" s="144"/>
      <c r="B18" s="144"/>
      <c r="E18" s="145"/>
      <c r="F18" s="145"/>
    </row>
    <row r="19" spans="1:6" x14ac:dyDescent="0.35">
      <c r="A19" s="144"/>
      <c r="B19" s="144"/>
      <c r="E19" s="146"/>
      <c r="F19" s="146"/>
    </row>
    <row r="20" spans="1:6" x14ac:dyDescent="0.35">
      <c r="A20" s="144"/>
      <c r="B20" s="144"/>
      <c r="E20" s="145"/>
      <c r="F20" s="145"/>
    </row>
    <row r="21" spans="1:6" x14ac:dyDescent="0.35">
      <c r="B21" s="388"/>
      <c r="C21" s="388"/>
      <c r="D21" s="388"/>
      <c r="E21" s="147"/>
      <c r="F21" s="147"/>
    </row>
    <row r="22" spans="1:6" x14ac:dyDescent="0.35">
      <c r="A22" s="148"/>
      <c r="B22" s="148"/>
      <c r="C22" s="148"/>
      <c r="D22" s="148"/>
      <c r="E22" s="146"/>
      <c r="F22" s="146"/>
    </row>
    <row r="23" spans="1:6" x14ac:dyDescent="0.35">
      <c r="A23" s="144"/>
      <c r="B23" s="144" t="s">
        <v>62</v>
      </c>
      <c r="C23" s="148"/>
      <c r="D23" s="148"/>
      <c r="E23" s="149"/>
      <c r="F23" s="149"/>
    </row>
  </sheetData>
  <sheetProtection algorithmName="SHA-512" hashValue="5cBgy3FH5IaQnAxqUD5nLq0OBVYHvkSV3BM1E55fNy2h1AbltLKjcEZlPcoZDImQcVqhuJZITJhdNK9LckE6hQ==" saltValue="x4Al+iFL2xJBOz8k+APCDw==" spinCount="100000" sheet="1" selectLockedCells="1"/>
  <mergeCells count="8">
    <mergeCell ref="K9:O9"/>
    <mergeCell ref="B13:E13"/>
    <mergeCell ref="B21:D21"/>
    <mergeCell ref="C10:D10"/>
    <mergeCell ref="B1:E1"/>
    <mergeCell ref="B3:E3"/>
    <mergeCell ref="B2:E2"/>
    <mergeCell ref="C11:D11"/>
  </mergeCells>
  <dataValidations count="1">
    <dataValidation type="date" allowBlank="1" showErrorMessage="1" errorTitle="Data Input Error" error="The Benefit Determination Date must be a date from 1/1/2026 through 12/31/2026." prompt="Enter a date greater than or equal to 7/31/2024 and less than or equal to 12/31/2024." sqref="E4" xr:uid="{571EAFD1-8578-4C85-B81D-43644CAD8212}">
      <formula1>46023</formula1>
      <formula2>46387</formula2>
    </dataValidation>
  </dataValidations>
  <printOptions horizontalCentered="1"/>
  <pageMargins left="0.25" right="0.25" top="0.75" bottom="0.75" header="0.3" footer="0.3"/>
  <pageSetup scale="90" orientation="portrait" r:id="rId1"/>
  <ignoredErrors>
    <ignoredError sqref="B4:B5 B10:B11"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28BE9A-AA4A-476F-A61F-85ACBD2435BA}">
  <sheetPr codeName="Sheet9"/>
  <dimension ref="A1"/>
  <sheetViews>
    <sheetView workbookViewId="0"/>
  </sheetViews>
  <sheetFormatPr defaultRowHeight="12.5" x14ac:dyDescent="0.25"/>
  <sheetData>
    <row r="1" spans="1:1" x14ac:dyDescent="0.25">
      <c r="A1" s="18"/>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7E433C-EA44-4D10-B91D-0B44AAC28F5C}">
  <sheetPr codeName="Sheet10"/>
  <dimension ref="A1"/>
  <sheetViews>
    <sheetView workbookViewId="0"/>
  </sheetViews>
  <sheetFormatPr defaultRowHeight="12.5" x14ac:dyDescent="0.25"/>
  <sheetData>
    <row r="1" spans="1:1" x14ac:dyDescent="0.25">
      <c r="A1" s="18"/>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914CEE-20B8-47C2-834D-4655B6C21E4B}">
  <sheetPr codeName="Sheet11"/>
  <dimension ref="D37"/>
  <sheetViews>
    <sheetView workbookViewId="0"/>
  </sheetViews>
  <sheetFormatPr defaultRowHeight="12.5" x14ac:dyDescent="0.25"/>
  <sheetData>
    <row r="37" spans="4:4" x14ac:dyDescent="0.25">
      <c r="D37" s="18"/>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121805-8B48-4384-AB32-734F434EB113}">
  <sheetPr codeName="Sheet12"/>
  <dimension ref="A1"/>
  <sheetViews>
    <sheetView workbookViewId="0"/>
  </sheetViews>
  <sheetFormatPr defaultRowHeight="12.5" x14ac:dyDescent="0.25"/>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4DB378-CE6A-4770-B303-F398F7296854}">
  <sheetPr codeName="Sheet13"/>
  <dimension ref="A1"/>
  <sheetViews>
    <sheetView workbookViewId="0"/>
  </sheetViews>
  <sheetFormatPr defaultRowHeight="12.5" x14ac:dyDescent="0.25"/>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1FB81D-6487-40FE-82A2-7D9485CBF7AE}">
  <sheetPr codeName="Sheet4">
    <tabColor rgb="FF00FF00"/>
  </sheetPr>
  <dimension ref="A1:AP133"/>
  <sheetViews>
    <sheetView zoomScale="140" zoomScaleNormal="140" workbookViewId="0">
      <pane ySplit="6" topLeftCell="A7" activePane="bottomLeft" state="frozen"/>
      <selection pane="bottomLeft" activeCell="A2" sqref="A2"/>
    </sheetView>
  </sheetViews>
  <sheetFormatPr defaultColWidth="9.26953125" defaultRowHeight="12.5" x14ac:dyDescent="0.25"/>
  <cols>
    <col min="1" max="1" width="12.7265625" style="3" customWidth="1"/>
    <col min="2" max="2" width="14.26953125" style="3" customWidth="1"/>
    <col min="3" max="3" width="12.7265625" style="3" customWidth="1"/>
    <col min="4" max="4" width="12.26953125" style="3" customWidth="1"/>
    <col min="5" max="5" width="2.54296875" style="4" customWidth="1"/>
    <col min="6" max="6" width="11" style="3" customWidth="1"/>
    <col min="7" max="7" width="10.26953125" style="3" customWidth="1"/>
    <col min="8" max="8" width="9.26953125" style="4" bestFit="1" customWidth="1"/>
    <col min="9" max="9" width="10.26953125" style="4" customWidth="1"/>
    <col min="10" max="10" width="2.54296875" style="4" customWidth="1"/>
    <col min="11" max="11" width="9.26953125" style="4" bestFit="1" customWidth="1"/>
    <col min="12" max="12" width="14.81640625" style="4" customWidth="1"/>
    <col min="13" max="13" width="10.7265625" style="4" customWidth="1"/>
    <col min="14" max="14" width="9.26953125" style="4" bestFit="1" customWidth="1"/>
    <col min="15" max="15" width="11.7265625" style="4" bestFit="1" customWidth="1"/>
    <col min="16" max="16" width="7.26953125" style="4" bestFit="1" customWidth="1"/>
    <col min="17" max="17" width="5.7265625" style="4" customWidth="1"/>
    <col min="18" max="18" width="9.26953125" style="4" bestFit="1" customWidth="1"/>
    <col min="19" max="19" width="14.26953125" style="4" customWidth="1"/>
    <col min="20" max="20" width="10.7265625" style="4" customWidth="1"/>
    <col min="21" max="21" width="9.26953125" style="4" bestFit="1" customWidth="1"/>
    <col min="22" max="22" width="11.7265625" style="4" bestFit="1" customWidth="1"/>
    <col min="23" max="23" width="9.453125" style="4" customWidth="1"/>
    <col min="24" max="24" width="5.7265625" style="4" customWidth="1"/>
    <col min="26" max="27" width="8.81640625" bestFit="1" customWidth="1"/>
    <col min="28" max="28" width="12.7265625" style="278" bestFit="1" customWidth="1"/>
    <col min="29" max="29" width="15.7265625" style="278" bestFit="1" customWidth="1"/>
    <col min="30" max="30" width="10.26953125" style="3" bestFit="1" customWidth="1"/>
    <col min="31" max="31" width="11.7265625" style="3" customWidth="1"/>
    <col min="32" max="32" width="11.26953125" style="3" bestFit="1" customWidth="1"/>
    <col min="33" max="34" width="10.7265625" style="279" bestFit="1" customWidth="1"/>
    <col min="35" max="35" width="14" style="3" bestFit="1" customWidth="1"/>
    <col min="36" max="36" width="10.7265625" style="3" bestFit="1" customWidth="1"/>
    <col min="37" max="37" width="9.7265625" style="3" bestFit="1" customWidth="1"/>
    <col min="38" max="16384" width="9.26953125" style="3"/>
  </cols>
  <sheetData>
    <row r="1" spans="1:38" ht="13.5" thickBot="1" x14ac:dyDescent="0.35">
      <c r="A1" s="51" t="s">
        <v>77</v>
      </c>
      <c r="E1" s="318"/>
      <c r="F1" s="80"/>
      <c r="G1" s="4"/>
      <c r="J1" s="324"/>
      <c r="K1" s="65">
        <f>A9</f>
        <v>50</v>
      </c>
      <c r="O1" s="186"/>
      <c r="Q1" s="324"/>
      <c r="R1" s="65">
        <f>A11</f>
        <v>51</v>
      </c>
      <c r="S1" s="267"/>
      <c r="T1" s="267"/>
      <c r="U1" s="3"/>
      <c r="X1" s="324"/>
    </row>
    <row r="2" spans="1:38" ht="14.25" customHeight="1" x14ac:dyDescent="0.35">
      <c r="A2" s="180" t="s">
        <v>78</v>
      </c>
      <c r="B2" s="181"/>
      <c r="C2"/>
      <c r="D2"/>
      <c r="E2" s="319"/>
      <c r="F2" s="80"/>
      <c r="G2" s="4"/>
      <c r="H2" s="3"/>
      <c r="I2" s="3"/>
      <c r="J2" s="325"/>
      <c r="N2" s="254"/>
      <c r="O2" s="262" t="s">
        <v>79</v>
      </c>
      <c r="P2" s="62"/>
      <c r="Q2" s="325"/>
      <c r="R2" s="232"/>
      <c r="S2" s="232"/>
      <c r="T2" s="232"/>
      <c r="U2" s="269"/>
      <c r="V2" s="61" t="s">
        <v>79</v>
      </c>
      <c r="W2" s="62"/>
      <c r="X2" s="325"/>
    </row>
    <row r="3" spans="1:38" ht="13" x14ac:dyDescent="0.3">
      <c r="A3" s="182"/>
      <c r="B3" s="182"/>
      <c r="C3" s="183"/>
      <c r="D3" s="184"/>
      <c r="E3" s="320"/>
      <c r="F3" s="80"/>
      <c r="G3" s="4"/>
      <c r="H3" s="16"/>
      <c r="I3" s="258" t="s">
        <v>80</v>
      </c>
      <c r="J3" s="330"/>
      <c r="L3" s="261"/>
      <c r="O3" s="263" t="s">
        <v>81</v>
      </c>
      <c r="P3" s="63"/>
      <c r="Q3" s="326"/>
      <c r="V3" s="66" t="s">
        <v>81</v>
      </c>
      <c r="W3" s="63"/>
      <c r="X3" s="326"/>
      <c r="Z3" s="3"/>
      <c r="AA3" s="3"/>
      <c r="AB3" s="3"/>
      <c r="AC3" s="13"/>
      <c r="AD3" s="13"/>
    </row>
    <row r="4" spans="1:38" ht="12.75" customHeight="1" x14ac:dyDescent="0.3">
      <c r="A4" s="3" t="s">
        <v>82</v>
      </c>
      <c r="B4" s="231">
        <f>'Annuity Factor Calcs'!D4</f>
        <v>50.083300000000001</v>
      </c>
      <c r="C4" s="70"/>
      <c r="D4" s="70"/>
      <c r="E4" s="321"/>
      <c r="F4" s="13"/>
      <c r="G4" s="391" t="s">
        <v>83</v>
      </c>
      <c r="H4" s="3"/>
      <c r="I4" s="258" t="s">
        <v>84</v>
      </c>
      <c r="J4" s="327"/>
      <c r="K4" s="391" t="s">
        <v>85</v>
      </c>
      <c r="L4" s="391" t="s">
        <v>86</v>
      </c>
      <c r="M4" s="391" t="s">
        <v>87</v>
      </c>
      <c r="O4" s="264" t="s">
        <v>88</v>
      </c>
      <c r="P4" s="63"/>
      <c r="Q4" s="331"/>
      <c r="R4" s="391" t="s">
        <v>85</v>
      </c>
      <c r="S4" s="391" t="s">
        <v>86</v>
      </c>
      <c r="T4" s="391" t="s">
        <v>87</v>
      </c>
      <c r="U4" s="7"/>
      <c r="V4" s="333" t="s">
        <v>89</v>
      </c>
      <c r="W4" s="63"/>
      <c r="X4" s="327"/>
      <c r="Z4" s="272"/>
      <c r="AA4" s="341"/>
      <c r="AB4" s="341"/>
      <c r="AC4" s="341"/>
    </row>
    <row r="5" spans="1:38" ht="15" customHeight="1" x14ac:dyDescent="0.4">
      <c r="A5" s="246" t="s">
        <v>90</v>
      </c>
      <c r="B5" s="231">
        <f ca="1">MAX(B4,'Annuity Factor Calcs'!D7)</f>
        <v>62</v>
      </c>
      <c r="C5" s="20"/>
      <c r="D5" s="20"/>
      <c r="E5" s="320"/>
      <c r="G5" s="391"/>
      <c r="H5" s="250" t="s">
        <v>91</v>
      </c>
      <c r="I5" s="359" t="s">
        <v>186</v>
      </c>
      <c r="J5" s="326"/>
      <c r="K5" s="391"/>
      <c r="L5" s="391"/>
      <c r="M5" s="391"/>
      <c r="N5" s="390" t="s">
        <v>92</v>
      </c>
      <c r="O5" s="334">
        <f ca="1">B8</f>
        <v>62</v>
      </c>
      <c r="P5" s="265" t="s">
        <v>89</v>
      </c>
      <c r="Q5" s="326"/>
      <c r="R5" s="391"/>
      <c r="S5" s="391"/>
      <c r="T5" s="391"/>
      <c r="U5" s="390" t="s">
        <v>92</v>
      </c>
      <c r="V5" s="334">
        <f ca="1">B8</f>
        <v>62</v>
      </c>
      <c r="W5" s="332" t="s">
        <v>93</v>
      </c>
      <c r="X5" s="326"/>
      <c r="Z5" s="340"/>
      <c r="AA5" s="340"/>
      <c r="AB5" s="340"/>
      <c r="AC5" s="340"/>
      <c r="AD5" s="283"/>
      <c r="AE5" s="14"/>
    </row>
    <row r="6" spans="1:38" ht="25.9" customHeight="1" thickBot="1" x14ac:dyDescent="0.45">
      <c r="A6" s="185"/>
      <c r="B6" s="20"/>
      <c r="C6" s="20"/>
      <c r="D6" s="20"/>
      <c r="E6" s="320"/>
      <c r="F6" s="6" t="s">
        <v>94</v>
      </c>
      <c r="G6" s="391"/>
      <c r="H6" s="257" t="s">
        <v>95</v>
      </c>
      <c r="I6" s="244" t="s">
        <v>96</v>
      </c>
      <c r="J6" s="326"/>
      <c r="K6" s="391"/>
      <c r="L6" s="391"/>
      <c r="M6" s="391"/>
      <c r="N6" s="390"/>
      <c r="O6" s="266" t="s">
        <v>97</v>
      </c>
      <c r="P6" s="64">
        <f ca="1">D8</f>
        <v>63</v>
      </c>
      <c r="Q6" s="358" t="s">
        <v>98</v>
      </c>
      <c r="R6" s="391"/>
      <c r="S6" s="391"/>
      <c r="T6" s="391"/>
      <c r="U6" s="390"/>
      <c r="V6" s="266" t="s">
        <v>97</v>
      </c>
      <c r="W6" s="64">
        <f ca="1">D8</f>
        <v>63</v>
      </c>
      <c r="X6" s="358" t="s">
        <v>98</v>
      </c>
      <c r="Z6" s="340"/>
      <c r="AA6" s="340"/>
      <c r="AB6" s="340"/>
      <c r="AC6" s="340"/>
      <c r="AD6" s="279"/>
      <c r="AE6" s="286"/>
    </row>
    <row r="7" spans="1:38" ht="13" x14ac:dyDescent="0.3">
      <c r="A7" s="188"/>
      <c r="B7" s="392" t="s">
        <v>90</v>
      </c>
      <c r="C7" s="392"/>
      <c r="D7" s="392"/>
      <c r="E7" s="322"/>
      <c r="F7" s="8">
        <v>0</v>
      </c>
      <c r="G7" s="335">
        <f>'4050 Mortality'!C5</f>
        <v>2.0200000000000001E-3</v>
      </c>
      <c r="H7" s="13">
        <f>1-G7</f>
        <v>0.99797999999999998</v>
      </c>
      <c r="I7" s="259">
        <f t="shared" ref="I7:I38" si="0">H7^(5/12)</f>
        <v>0.99915783692203297</v>
      </c>
      <c r="J7" s="328"/>
      <c r="K7" s="4">
        <v>1</v>
      </c>
      <c r="L7" s="11">
        <v>0</v>
      </c>
      <c r="M7" s="11"/>
      <c r="N7" s="11">
        <v>0</v>
      </c>
      <c r="O7" s="11">
        <f t="shared" ref="O7:O70" ca="1" si="1">IF($F7&gt;=$O$5,1,0)</f>
        <v>0</v>
      </c>
      <c r="P7" s="11">
        <f t="shared" ref="P7:P70" ca="1" si="2">IF($F7&gt;=$P$6,1,0)</f>
        <v>0</v>
      </c>
      <c r="Q7" s="355">
        <f t="shared" ref="Q7:Q38" si="3">MAX(0, $F7-$K$1)</f>
        <v>0</v>
      </c>
      <c r="R7" s="4">
        <v>1</v>
      </c>
      <c r="S7" s="11">
        <v>0</v>
      </c>
      <c r="T7" s="11"/>
      <c r="U7" s="11">
        <v>0</v>
      </c>
      <c r="V7" s="11">
        <f t="shared" ref="V7:V38" ca="1" si="4">IF($F7&gt;=$V$5,1,0)</f>
        <v>0</v>
      </c>
      <c r="W7" s="11">
        <f t="shared" ref="W7:W38" ca="1" si="5">IF($F7&gt;=$W$6,1,0)</f>
        <v>0</v>
      </c>
      <c r="X7" s="355">
        <f>MAX(0, $F7-$R$1)</f>
        <v>0</v>
      </c>
      <c r="Z7" s="284"/>
      <c r="AA7" s="285"/>
      <c r="AB7" s="277"/>
      <c r="AC7" s="20"/>
      <c r="AD7" s="279"/>
      <c r="AE7" s="286"/>
      <c r="AF7" s="287"/>
    </row>
    <row r="8" spans="1:38" ht="13" x14ac:dyDescent="0.3">
      <c r="A8" s="230" t="s">
        <v>82</v>
      </c>
      <c r="B8" s="237">
        <f ca="1">INT(C8)</f>
        <v>62</v>
      </c>
      <c r="C8" s="238">
        <f ca="1">B5</f>
        <v>62</v>
      </c>
      <c r="D8" s="237">
        <f ca="1">B8+1</f>
        <v>63</v>
      </c>
      <c r="E8" s="322"/>
      <c r="F8" s="8">
        <f t="shared" ref="F8:F71" si="6">F7+1</f>
        <v>1</v>
      </c>
      <c r="G8" s="335">
        <f>'4050 Mortality'!C6</f>
        <v>1.3999999999999999E-4</v>
      </c>
      <c r="H8" s="10">
        <f t="shared" ref="H8:H71" si="7">1-G8</f>
        <v>0.99985999999999997</v>
      </c>
      <c r="I8" s="243">
        <f t="shared" si="0"/>
        <v>0.99994166428454623</v>
      </c>
      <c r="J8" s="328"/>
      <c r="K8" s="10">
        <f t="shared" ref="K8:K39" si="8">IF($F7&lt;$A$9,1,K7*$H7)</f>
        <v>1</v>
      </c>
      <c r="L8" s="256" t="str" cm="1">
        <f t="array" ref="L8">IF($F8&lt;K$1,"",INDEX('4044 Yield Curves'!$C$7:$C$66,MIN(60,2*($F8-K$1+0.5)),0))</f>
        <v/>
      </c>
      <c r="M8" s="10" t="str">
        <f>IF($F8&lt;K$1,"",(K$1-$F8-11/24))</f>
        <v/>
      </c>
      <c r="N8" s="10">
        <f t="shared" ref="N8:N39" si="9">IF($F8&lt;K$1,1,(1+L8)^M8)</f>
        <v>1</v>
      </c>
      <c r="O8" s="11">
        <f t="shared" ca="1" si="1"/>
        <v>0</v>
      </c>
      <c r="P8" s="11">
        <f t="shared" ca="1" si="2"/>
        <v>0</v>
      </c>
      <c r="Q8" s="355">
        <f t="shared" si="3"/>
        <v>0</v>
      </c>
      <c r="R8" s="10">
        <f t="shared" ref="R8:R39" si="10">IF($F7&lt;$A$11,1,R7*$H7)</f>
        <v>1</v>
      </c>
      <c r="S8" s="256" t="str" cm="1">
        <f t="array" ref="S8">IF($F8&lt;R$1,"",INDEX('4044 Yield Curves'!$C$7:$C$66,MIN(60,2*($F8-R$1+0.5)),0))</f>
        <v/>
      </c>
      <c r="T8" s="10" t="str">
        <f>IF($F8&lt;R$1,"",(R$1-$F8-11/24))</f>
        <v/>
      </c>
      <c r="U8" s="10">
        <f>IF($F8&lt;R$1,1,(1+S8)^T8)</f>
        <v>1</v>
      </c>
      <c r="V8" s="11">
        <f t="shared" ca="1" si="4"/>
        <v>0</v>
      </c>
      <c r="W8" s="11">
        <f t="shared" ca="1" si="5"/>
        <v>0</v>
      </c>
      <c r="X8" s="355">
        <f t="shared" ref="X8:X71" si="11">MAX(0, $F8-$R$1)</f>
        <v>0</v>
      </c>
      <c r="Z8" s="284"/>
      <c r="AA8" s="285"/>
      <c r="AB8" s="277"/>
      <c r="AC8" s="20"/>
      <c r="AD8" s="279"/>
      <c r="AE8" s="286"/>
      <c r="AF8" s="287"/>
    </row>
    <row r="9" spans="1:38" ht="13.5" thickBot="1" x14ac:dyDescent="0.35">
      <c r="A9" s="235">
        <f>INT(A10)</f>
        <v>50</v>
      </c>
      <c r="B9" s="239">
        <f ca="1">SUMPRODUCT(SurvivalDiscount,SurviveFromBOYtoMidYear,InterestDiscount,$O$7:$O$127)</f>
        <v>6.4881255370222943</v>
      </c>
      <c r="C9" s="239"/>
      <c r="D9" s="239">
        <f ca="1">SUMPRODUCT(SurvivalDiscount,SurviveFromBOYtoMidYear,InterestDiscount,$P$7:$P$127)</f>
        <v>5.9747513106358232</v>
      </c>
      <c r="E9" s="322"/>
      <c r="F9" s="8">
        <f t="shared" si="6"/>
        <v>2</v>
      </c>
      <c r="G9" s="335">
        <f>'4050 Mortality'!C7</f>
        <v>9.0000000000000006E-5</v>
      </c>
      <c r="H9" s="10">
        <f t="shared" si="7"/>
        <v>0.99990999999999997</v>
      </c>
      <c r="I9" s="243">
        <f t="shared" si="0"/>
        <v>0.99996249901557821</v>
      </c>
      <c r="J9" s="328"/>
      <c r="K9" s="10">
        <f t="shared" si="8"/>
        <v>1</v>
      </c>
      <c r="L9" s="256" t="str" cm="1">
        <f t="array" ref="L9">IF($F9&lt;K$1,"",INDEX('4044 Yield Curves'!$C$7:$C$66,MIN(60,2*($F9-K$1+0.5)),0))</f>
        <v/>
      </c>
      <c r="M9" s="10" t="str">
        <f t="shared" ref="M9:M72" si="12">IF($F9&lt;K$1,"",(K$1-$F9-11/24))</f>
        <v/>
      </c>
      <c r="N9" s="10">
        <f t="shared" si="9"/>
        <v>1</v>
      </c>
      <c r="O9" s="11">
        <f t="shared" ca="1" si="1"/>
        <v>0</v>
      </c>
      <c r="P9" s="11">
        <f t="shared" ca="1" si="2"/>
        <v>0</v>
      </c>
      <c r="Q9" s="355">
        <f t="shared" si="3"/>
        <v>0</v>
      </c>
      <c r="R9" s="10">
        <f t="shared" si="10"/>
        <v>1</v>
      </c>
      <c r="S9" s="256" t="str" cm="1">
        <f t="array" ref="S9">IF($F9&lt;R$1,"",INDEX('4044 Yield Curves'!$C$7:$C$66,MIN(60,2*($F9-R$1+0.5)),0))</f>
        <v/>
      </c>
      <c r="T9" s="10" t="str">
        <f t="shared" ref="T9:T72" si="13">IF($F9&lt;R$1,"",(R$1-$F9-11/24))</f>
        <v/>
      </c>
      <c r="U9" s="10">
        <f t="shared" ref="U9:U72" si="14">IF($F9&lt;R$1,1,(1+S9)^T9)</f>
        <v>1</v>
      </c>
      <c r="V9" s="11">
        <f t="shared" ca="1" si="4"/>
        <v>0</v>
      </c>
      <c r="W9" s="11">
        <f t="shared" ca="1" si="5"/>
        <v>0</v>
      </c>
      <c r="X9" s="355">
        <f t="shared" si="11"/>
        <v>0</v>
      </c>
      <c r="Z9" s="284"/>
      <c r="AA9" s="285"/>
      <c r="AB9" s="277"/>
      <c r="AC9" s="20"/>
      <c r="AD9" s="279"/>
      <c r="AE9" s="286"/>
      <c r="AF9" s="287"/>
    </row>
    <row r="10" spans="1:38" ht="13.5" thickBot="1" x14ac:dyDescent="0.35">
      <c r="A10" s="236">
        <f>B4</f>
        <v>50.083300000000001</v>
      </c>
      <c r="B10" s="239">
        <f ca="1">(A10-A9)*B11+(A11-A10)*B9</f>
        <v>6.5213549213520192</v>
      </c>
      <c r="C10" s="240">
        <f ca="1">IF(B5-B4&gt;0.0000001,(C8-B8)*D10+(D8-C8)*B10,(A10-A9)*D11+(A11-A10)*B9)</f>
        <v>6.5213549213520192</v>
      </c>
      <c r="D10" s="239">
        <f ca="1">(A10-A9)*D11+(A11-A10)*D9</f>
        <v>6.0052862396909488</v>
      </c>
      <c r="E10" s="322"/>
      <c r="F10" s="8">
        <f t="shared" si="6"/>
        <v>3</v>
      </c>
      <c r="G10" s="335">
        <f>'4050 Mortality'!C8</f>
        <v>6.9999999999999994E-5</v>
      </c>
      <c r="H10" s="10">
        <f t="shared" si="7"/>
        <v>0.99992999999999999</v>
      </c>
      <c r="I10" s="243">
        <f t="shared" si="0"/>
        <v>0.99997083273782517</v>
      </c>
      <c r="J10" s="328"/>
      <c r="K10" s="10">
        <f t="shared" si="8"/>
        <v>1</v>
      </c>
      <c r="L10" s="256" t="str" cm="1">
        <f t="array" ref="L10">IF($F10&lt;K$1,"",INDEX('4044 Yield Curves'!$C$7:$C$66,MIN(60,2*($F10-K$1+0.5)),0))</f>
        <v/>
      </c>
      <c r="M10" s="10" t="str">
        <f t="shared" si="12"/>
        <v/>
      </c>
      <c r="N10" s="10">
        <f t="shared" si="9"/>
        <v>1</v>
      </c>
      <c r="O10" s="11">
        <f t="shared" ca="1" si="1"/>
        <v>0</v>
      </c>
      <c r="P10" s="11">
        <f t="shared" ca="1" si="2"/>
        <v>0</v>
      </c>
      <c r="Q10" s="355">
        <f t="shared" si="3"/>
        <v>0</v>
      </c>
      <c r="R10" s="10">
        <f t="shared" si="10"/>
        <v>1</v>
      </c>
      <c r="S10" s="256" t="str" cm="1">
        <f t="array" ref="S10">IF($F10&lt;R$1,"",INDEX('4044 Yield Curves'!$C$7:$C$66,MIN(60,2*($F10-R$1+0.5)),0))</f>
        <v/>
      </c>
      <c r="T10" s="10" t="str">
        <f t="shared" si="13"/>
        <v/>
      </c>
      <c r="U10" s="10">
        <f t="shared" si="14"/>
        <v>1</v>
      </c>
      <c r="V10" s="11">
        <f t="shared" ca="1" si="4"/>
        <v>0</v>
      </c>
      <c r="W10" s="11">
        <f t="shared" ca="1" si="5"/>
        <v>0</v>
      </c>
      <c r="X10" s="355">
        <f t="shared" si="11"/>
        <v>0</v>
      </c>
      <c r="Z10" s="284"/>
      <c r="AA10" s="285"/>
      <c r="AB10" s="338"/>
      <c r="AC10" s="339"/>
      <c r="AE10" s="287"/>
      <c r="AF10" s="287"/>
      <c r="AG10" s="288"/>
      <c r="AH10" s="288"/>
      <c r="AI10" s="14"/>
      <c r="AJ10" s="14"/>
      <c r="AK10" s="14"/>
      <c r="AL10" s="14"/>
    </row>
    <row r="11" spans="1:38" ht="13" x14ac:dyDescent="0.3">
      <c r="A11" s="235">
        <f>A9+1</f>
        <v>51</v>
      </c>
      <c r="B11" s="239">
        <f ca="1">SUMPRODUCT(SurvivalDiscount2,SurviveFromBOYtoMidYear,InterestDiscount2,$V$7:$V$127)</f>
        <v>6.8870377138497094</v>
      </c>
      <c r="C11" s="239"/>
      <c r="D11" s="239">
        <f ca="1">SUMPRODUCT(SurvivalDiscount2,SurviveFromBOYtoMidYear,InterestDiscount2,$W$7:$W$127)</f>
        <v>6.3413170856073151</v>
      </c>
      <c r="E11" s="322"/>
      <c r="F11" s="8">
        <f t="shared" si="6"/>
        <v>4</v>
      </c>
      <c r="G11" s="335">
        <f>'4050 Mortality'!C9</f>
        <v>6.0000000000000002E-5</v>
      </c>
      <c r="H11" s="10">
        <f t="shared" si="7"/>
        <v>0.99994000000000005</v>
      </c>
      <c r="I11" s="243">
        <f t="shared" si="0"/>
        <v>0.99997499956248614</v>
      </c>
      <c r="J11" s="328"/>
      <c r="K11" s="10">
        <f t="shared" si="8"/>
        <v>1</v>
      </c>
      <c r="L11" s="256" t="str" cm="1">
        <f t="array" ref="L11">IF($F11&lt;K$1,"",INDEX('4044 Yield Curves'!$C$7:$C$66,MIN(60,2*($F11-K$1+0.5)),0))</f>
        <v/>
      </c>
      <c r="M11" s="10" t="str">
        <f t="shared" si="12"/>
        <v/>
      </c>
      <c r="N11" s="10">
        <f t="shared" si="9"/>
        <v>1</v>
      </c>
      <c r="O11" s="11">
        <f t="shared" ca="1" si="1"/>
        <v>0</v>
      </c>
      <c r="P11" s="11">
        <f t="shared" ca="1" si="2"/>
        <v>0</v>
      </c>
      <c r="Q11" s="355">
        <f t="shared" si="3"/>
        <v>0</v>
      </c>
      <c r="R11" s="10">
        <f t="shared" si="10"/>
        <v>1</v>
      </c>
      <c r="S11" s="256" t="str" cm="1">
        <f t="array" ref="S11">IF($F11&lt;R$1,"",INDEX('4044 Yield Curves'!$C$7:$C$66,MIN(60,2*($F11-R$1+0.5)),0))</f>
        <v/>
      </c>
      <c r="T11" s="10" t="str">
        <f t="shared" si="13"/>
        <v/>
      </c>
      <c r="U11" s="10">
        <f t="shared" si="14"/>
        <v>1</v>
      </c>
      <c r="V11" s="11">
        <f t="shared" ca="1" si="4"/>
        <v>0</v>
      </c>
      <c r="W11" s="11">
        <f t="shared" ca="1" si="5"/>
        <v>0</v>
      </c>
      <c r="X11" s="355">
        <f t="shared" si="11"/>
        <v>0</v>
      </c>
      <c r="Z11" s="284"/>
      <c r="AA11" s="285"/>
      <c r="AB11" s="338"/>
      <c r="AC11" s="339"/>
      <c r="AE11" s="287"/>
      <c r="AF11" s="287"/>
      <c r="AG11" s="14"/>
      <c r="AH11" s="14"/>
      <c r="AI11" s="289"/>
      <c r="AJ11" s="289"/>
      <c r="AK11" s="289"/>
      <c r="AL11" s="290"/>
    </row>
    <row r="12" spans="1:38" ht="13" x14ac:dyDescent="0.3">
      <c r="A12" s="188"/>
      <c r="B12" s="189"/>
      <c r="C12" s="188"/>
      <c r="D12" s="188"/>
      <c r="E12" s="322"/>
      <c r="F12" s="8">
        <f t="shared" si="6"/>
        <v>5</v>
      </c>
      <c r="G12" s="335">
        <f>'4050 Mortality'!C10</f>
        <v>5.0000000000000002E-5</v>
      </c>
      <c r="H12" s="10">
        <f t="shared" si="7"/>
        <v>0.99995000000000001</v>
      </c>
      <c r="I12" s="243">
        <f t="shared" si="0"/>
        <v>0.99997916636283923</v>
      </c>
      <c r="J12" s="328"/>
      <c r="K12" s="10">
        <f t="shared" si="8"/>
        <v>1</v>
      </c>
      <c r="L12" s="256" t="str" cm="1">
        <f t="array" ref="L12">IF($F12&lt;K$1,"",INDEX('4044 Yield Curves'!$C$7:$C$66,MIN(60,2*($F12-K$1+0.5)),0))</f>
        <v/>
      </c>
      <c r="M12" s="10" t="str">
        <f t="shared" si="12"/>
        <v/>
      </c>
      <c r="N12" s="10">
        <f t="shared" si="9"/>
        <v>1</v>
      </c>
      <c r="O12" s="11">
        <f t="shared" ca="1" si="1"/>
        <v>0</v>
      </c>
      <c r="P12" s="11">
        <f t="shared" ca="1" si="2"/>
        <v>0</v>
      </c>
      <c r="Q12" s="355">
        <f t="shared" si="3"/>
        <v>0</v>
      </c>
      <c r="R12" s="10">
        <f t="shared" si="10"/>
        <v>1</v>
      </c>
      <c r="S12" s="256" t="str" cm="1">
        <f t="array" ref="S12">IF($F12&lt;R$1,"",INDEX('4044 Yield Curves'!$C$7:$C$66,MIN(60,2*($F12-R$1+0.5)),0))</f>
        <v/>
      </c>
      <c r="T12" s="10" t="str">
        <f t="shared" si="13"/>
        <v/>
      </c>
      <c r="U12" s="10">
        <f t="shared" si="14"/>
        <v>1</v>
      </c>
      <c r="V12" s="11">
        <f t="shared" ca="1" si="4"/>
        <v>0</v>
      </c>
      <c r="W12" s="11">
        <f t="shared" ca="1" si="5"/>
        <v>0</v>
      </c>
      <c r="X12" s="355">
        <f t="shared" si="11"/>
        <v>0</v>
      </c>
      <c r="Z12" s="284"/>
      <c r="AA12" s="285"/>
      <c r="AB12" s="338"/>
      <c r="AC12" s="339"/>
      <c r="AE12" s="287"/>
      <c r="AF12" s="287"/>
      <c r="AG12" s="14"/>
      <c r="AH12" s="14"/>
      <c r="AI12" s="289"/>
      <c r="AJ12" s="289"/>
      <c r="AK12" s="289"/>
      <c r="AL12" s="290"/>
    </row>
    <row r="13" spans="1:38" ht="13" x14ac:dyDescent="0.3">
      <c r="A13" s="233" t="s">
        <v>99</v>
      </c>
      <c r="B13" s="234"/>
      <c r="C13" s="241">
        <f ca="1">C10</f>
        <v>6.5213549213520192</v>
      </c>
      <c r="D13" s="188"/>
      <c r="E13" s="322"/>
      <c r="F13" s="8">
        <f t="shared" si="6"/>
        <v>6</v>
      </c>
      <c r="G13" s="335">
        <f>'4050 Mortality'!C11</f>
        <v>5.0000000000000002E-5</v>
      </c>
      <c r="H13" s="10">
        <f t="shared" si="7"/>
        <v>0.99995000000000001</v>
      </c>
      <c r="I13" s="243">
        <f t="shared" si="0"/>
        <v>0.99997916636283923</v>
      </c>
      <c r="J13" s="328"/>
      <c r="K13" s="10">
        <f t="shared" si="8"/>
        <v>1</v>
      </c>
      <c r="L13" s="256" t="str" cm="1">
        <f t="array" ref="L13">IF($F13&lt;K$1,"",INDEX('4044 Yield Curves'!$C$7:$C$66,MIN(60,2*($F13-K$1+0.5)),0))</f>
        <v/>
      </c>
      <c r="M13" s="10" t="str">
        <f t="shared" si="12"/>
        <v/>
      </c>
      <c r="N13" s="10">
        <f t="shared" si="9"/>
        <v>1</v>
      </c>
      <c r="O13" s="11">
        <f t="shared" ca="1" si="1"/>
        <v>0</v>
      </c>
      <c r="P13" s="11">
        <f t="shared" ca="1" si="2"/>
        <v>0</v>
      </c>
      <c r="Q13" s="355">
        <f t="shared" si="3"/>
        <v>0</v>
      </c>
      <c r="R13" s="10">
        <f t="shared" si="10"/>
        <v>1</v>
      </c>
      <c r="S13" s="256" t="str" cm="1">
        <f t="array" ref="S13">IF($F13&lt;R$1,"",INDEX('4044 Yield Curves'!$C$7:$C$66,MIN(60,2*($F13-R$1+0.5)),0))</f>
        <v/>
      </c>
      <c r="T13" s="10" t="str">
        <f t="shared" si="13"/>
        <v/>
      </c>
      <c r="U13" s="10">
        <f t="shared" si="14"/>
        <v>1</v>
      </c>
      <c r="V13" s="11">
        <f t="shared" ca="1" si="4"/>
        <v>0</v>
      </c>
      <c r="W13" s="11">
        <f t="shared" ca="1" si="5"/>
        <v>0</v>
      </c>
      <c r="X13" s="355">
        <f t="shared" si="11"/>
        <v>0</v>
      </c>
      <c r="Z13" s="284"/>
      <c r="AA13" s="285"/>
      <c r="AB13" s="338"/>
      <c r="AC13" s="339"/>
      <c r="AE13" s="287"/>
      <c r="AF13" s="287"/>
      <c r="AG13" s="14"/>
      <c r="AH13" s="14"/>
      <c r="AI13" s="289"/>
      <c r="AJ13" s="289"/>
      <c r="AK13" s="289"/>
      <c r="AL13" s="290"/>
    </row>
    <row r="14" spans="1:38" ht="13" x14ac:dyDescent="0.3">
      <c r="A14" s="188"/>
      <c r="B14" s="189"/>
      <c r="C14" s="230" t="s">
        <v>100</v>
      </c>
      <c r="D14" s="188"/>
      <c r="E14" s="322"/>
      <c r="F14" s="8">
        <f t="shared" si="6"/>
        <v>7</v>
      </c>
      <c r="G14" s="335">
        <f>'4050 Mortality'!C12</f>
        <v>5.0000000000000002E-5</v>
      </c>
      <c r="H14" s="10">
        <f t="shared" si="7"/>
        <v>0.99995000000000001</v>
      </c>
      <c r="I14" s="243">
        <f t="shared" si="0"/>
        <v>0.99997916636283923</v>
      </c>
      <c r="J14" s="328"/>
      <c r="K14" s="10">
        <f t="shared" si="8"/>
        <v>1</v>
      </c>
      <c r="L14" s="256" t="str" cm="1">
        <f t="array" ref="L14">IF($F14&lt;K$1,"",INDEX('4044 Yield Curves'!$C$7:$C$66,MIN(60,2*($F14-K$1+0.5)),0))</f>
        <v/>
      </c>
      <c r="M14" s="10" t="str">
        <f t="shared" si="12"/>
        <v/>
      </c>
      <c r="N14" s="10">
        <f t="shared" si="9"/>
        <v>1</v>
      </c>
      <c r="O14" s="11">
        <f t="shared" ca="1" si="1"/>
        <v>0</v>
      </c>
      <c r="P14" s="11">
        <f t="shared" ca="1" si="2"/>
        <v>0</v>
      </c>
      <c r="Q14" s="355">
        <f t="shared" si="3"/>
        <v>0</v>
      </c>
      <c r="R14" s="10">
        <f t="shared" si="10"/>
        <v>1</v>
      </c>
      <c r="S14" s="256" t="str" cm="1">
        <f t="array" ref="S14">IF($F14&lt;R$1,"",INDEX('4044 Yield Curves'!$C$7:$C$66,MIN(60,2*($F14-R$1+0.5)),0))</f>
        <v/>
      </c>
      <c r="T14" s="10" t="str">
        <f t="shared" si="13"/>
        <v/>
      </c>
      <c r="U14" s="10">
        <f t="shared" si="14"/>
        <v>1</v>
      </c>
      <c r="V14" s="11">
        <f t="shared" ca="1" si="4"/>
        <v>0</v>
      </c>
      <c r="W14" s="11">
        <f t="shared" ca="1" si="5"/>
        <v>0</v>
      </c>
      <c r="X14" s="355">
        <f t="shared" si="11"/>
        <v>0</v>
      </c>
      <c r="Z14" s="284"/>
      <c r="AA14" s="285"/>
      <c r="AB14" s="338"/>
      <c r="AC14" s="339"/>
      <c r="AE14" s="287"/>
      <c r="AF14" s="287"/>
      <c r="AG14" s="14"/>
      <c r="AH14" s="14"/>
      <c r="AI14" s="289"/>
      <c r="AJ14" s="289"/>
      <c r="AK14" s="289"/>
      <c r="AL14" s="290"/>
    </row>
    <row r="15" spans="1:38" ht="13" x14ac:dyDescent="0.3">
      <c r="C15" s="14"/>
      <c r="D15" s="242"/>
      <c r="E15" s="322"/>
      <c r="F15" s="8">
        <f t="shared" si="6"/>
        <v>8</v>
      </c>
      <c r="G15" s="335">
        <f>'4050 Mortality'!C13</f>
        <v>4.0000000000000003E-5</v>
      </c>
      <c r="H15" s="10">
        <f t="shared" si="7"/>
        <v>0.99995999999999996</v>
      </c>
      <c r="I15" s="243">
        <f t="shared" si="0"/>
        <v>0.99998333313888477</v>
      </c>
      <c r="J15" s="328"/>
      <c r="K15" s="10">
        <f t="shared" si="8"/>
        <v>1</v>
      </c>
      <c r="L15" s="256" t="str" cm="1">
        <f t="array" ref="L15">IF($F15&lt;K$1,"",INDEX('4044 Yield Curves'!$C$7:$C$66,MIN(60,2*($F15-K$1+0.5)),0))</f>
        <v/>
      </c>
      <c r="M15" s="10" t="str">
        <f t="shared" si="12"/>
        <v/>
      </c>
      <c r="N15" s="10">
        <f t="shared" si="9"/>
        <v>1</v>
      </c>
      <c r="O15" s="11">
        <f t="shared" ca="1" si="1"/>
        <v>0</v>
      </c>
      <c r="P15" s="11">
        <f t="shared" ca="1" si="2"/>
        <v>0</v>
      </c>
      <c r="Q15" s="355">
        <f t="shared" si="3"/>
        <v>0</v>
      </c>
      <c r="R15" s="10">
        <f t="shared" si="10"/>
        <v>1</v>
      </c>
      <c r="S15" s="256" t="str" cm="1">
        <f t="array" ref="S15">IF($F15&lt;R$1,"",INDEX('4044 Yield Curves'!$C$7:$C$66,MIN(60,2*($F15-R$1+0.5)),0))</f>
        <v/>
      </c>
      <c r="T15" s="10" t="str">
        <f t="shared" si="13"/>
        <v/>
      </c>
      <c r="U15" s="10">
        <f t="shared" si="14"/>
        <v>1</v>
      </c>
      <c r="V15" s="11">
        <f t="shared" ca="1" si="4"/>
        <v>0</v>
      </c>
      <c r="W15" s="11">
        <f t="shared" ca="1" si="5"/>
        <v>0</v>
      </c>
      <c r="X15" s="355">
        <f t="shared" si="11"/>
        <v>0</v>
      </c>
      <c r="Z15" s="284"/>
      <c r="AA15" s="285"/>
      <c r="AB15" s="338"/>
      <c r="AC15" s="339"/>
      <c r="AE15" s="287"/>
      <c r="AF15" s="287"/>
      <c r="AG15" s="14"/>
      <c r="AH15" s="14"/>
      <c r="AI15" s="289"/>
      <c r="AJ15" s="289"/>
      <c r="AK15" s="289"/>
      <c r="AL15" s="290"/>
    </row>
    <row r="16" spans="1:38" ht="12.75" customHeight="1" x14ac:dyDescent="0.3">
      <c r="D16" s="245"/>
      <c r="E16" s="322"/>
      <c r="F16" s="8">
        <f t="shared" si="6"/>
        <v>9</v>
      </c>
      <c r="G16" s="335">
        <f>'4050 Mortality'!C14</f>
        <v>3.0000000000000001E-5</v>
      </c>
      <c r="H16" s="10">
        <f t="shared" si="7"/>
        <v>0.99997000000000003</v>
      </c>
      <c r="I16" s="243">
        <f t="shared" si="0"/>
        <v>0.9999874998906233</v>
      </c>
      <c r="J16" s="328"/>
      <c r="K16" s="10">
        <f t="shared" si="8"/>
        <v>1</v>
      </c>
      <c r="L16" s="256" t="str" cm="1">
        <f t="array" ref="L16">IF($F16&lt;K$1,"",INDEX('4044 Yield Curves'!$C$7:$C$66,MIN(60,2*($F16-K$1+0.5)),0))</f>
        <v/>
      </c>
      <c r="M16" s="10" t="str">
        <f t="shared" si="12"/>
        <v/>
      </c>
      <c r="N16" s="10">
        <f t="shared" si="9"/>
        <v>1</v>
      </c>
      <c r="O16" s="11">
        <f t="shared" ca="1" si="1"/>
        <v>0</v>
      </c>
      <c r="P16" s="11">
        <f t="shared" ca="1" si="2"/>
        <v>0</v>
      </c>
      <c r="Q16" s="355">
        <f t="shared" si="3"/>
        <v>0</v>
      </c>
      <c r="R16" s="10">
        <f t="shared" si="10"/>
        <v>1</v>
      </c>
      <c r="S16" s="256" t="str" cm="1">
        <f t="array" ref="S16">IF($F16&lt;R$1,"",INDEX('4044 Yield Curves'!$C$7:$C$66,MIN(60,2*($F16-R$1+0.5)),0))</f>
        <v/>
      </c>
      <c r="T16" s="10" t="str">
        <f t="shared" si="13"/>
        <v/>
      </c>
      <c r="U16" s="10">
        <f t="shared" si="14"/>
        <v>1</v>
      </c>
      <c r="V16" s="11">
        <f t="shared" ca="1" si="4"/>
        <v>0</v>
      </c>
      <c r="W16" s="11">
        <f t="shared" ca="1" si="5"/>
        <v>0</v>
      </c>
      <c r="X16" s="355">
        <f t="shared" si="11"/>
        <v>0</v>
      </c>
      <c r="Z16" s="284"/>
      <c r="AA16" s="285"/>
      <c r="AB16" s="338"/>
      <c r="AC16" s="339"/>
      <c r="AE16" s="287"/>
      <c r="AF16" s="287"/>
      <c r="AG16" s="14"/>
      <c r="AH16" s="14"/>
      <c r="AI16" s="289"/>
      <c r="AJ16" s="289"/>
      <c r="AK16" s="289"/>
      <c r="AL16" s="290"/>
    </row>
    <row r="17" spans="1:42" ht="12.75" customHeight="1" x14ac:dyDescent="0.3">
      <c r="A17" s="214"/>
      <c r="B17" s="214"/>
      <c r="C17" s="214"/>
      <c r="D17" s="247"/>
      <c r="E17" s="322"/>
      <c r="F17" s="8">
        <f t="shared" si="6"/>
        <v>10</v>
      </c>
      <c r="G17" s="335">
        <f>'4050 Mortality'!C15</f>
        <v>4.0000000000000003E-5</v>
      </c>
      <c r="H17" s="10">
        <f t="shared" si="7"/>
        <v>0.99995999999999996</v>
      </c>
      <c r="I17" s="243">
        <f t="shared" si="0"/>
        <v>0.99998333313888477</v>
      </c>
      <c r="J17" s="328"/>
      <c r="K17" s="10">
        <f t="shared" si="8"/>
        <v>1</v>
      </c>
      <c r="L17" s="256" t="str" cm="1">
        <f t="array" ref="L17">IF($F17&lt;K$1,"",INDEX('4044 Yield Curves'!$C$7:$C$66,MIN(60,2*($F17-K$1+0.5)),0))</f>
        <v/>
      </c>
      <c r="M17" s="10" t="str">
        <f t="shared" si="12"/>
        <v/>
      </c>
      <c r="N17" s="10">
        <f t="shared" si="9"/>
        <v>1</v>
      </c>
      <c r="O17" s="11">
        <f t="shared" ca="1" si="1"/>
        <v>0</v>
      </c>
      <c r="P17" s="11">
        <f t="shared" ca="1" si="2"/>
        <v>0</v>
      </c>
      <c r="Q17" s="355">
        <f t="shared" si="3"/>
        <v>0</v>
      </c>
      <c r="R17" s="10">
        <f t="shared" si="10"/>
        <v>1</v>
      </c>
      <c r="S17" s="256" t="str" cm="1">
        <f t="array" ref="S17">IF($F17&lt;R$1,"",INDEX('4044 Yield Curves'!$C$7:$C$66,MIN(60,2*($F17-R$1+0.5)),0))</f>
        <v/>
      </c>
      <c r="T17" s="10" t="str">
        <f t="shared" si="13"/>
        <v/>
      </c>
      <c r="U17" s="10">
        <f t="shared" si="14"/>
        <v>1</v>
      </c>
      <c r="V17" s="11">
        <f t="shared" ca="1" si="4"/>
        <v>0</v>
      </c>
      <c r="W17" s="11">
        <f t="shared" ca="1" si="5"/>
        <v>0</v>
      </c>
      <c r="X17" s="355">
        <f t="shared" si="11"/>
        <v>0</v>
      </c>
      <c r="Z17" s="284"/>
      <c r="AA17" s="285"/>
      <c r="AB17" s="338"/>
      <c r="AC17" s="339"/>
      <c r="AE17" s="287"/>
      <c r="AF17" s="287"/>
      <c r="AG17" s="14"/>
      <c r="AH17" s="14"/>
      <c r="AI17" s="289"/>
      <c r="AJ17" s="289"/>
      <c r="AK17" s="289"/>
      <c r="AL17" s="290"/>
    </row>
    <row r="18" spans="1:42" ht="13" x14ac:dyDescent="0.3">
      <c r="A18" s="336" t="s">
        <v>101</v>
      </c>
      <c r="B18" s="187"/>
      <c r="C18" s="187"/>
      <c r="D18" s="187"/>
      <c r="E18" s="322"/>
      <c r="F18" s="8">
        <f t="shared" si="6"/>
        <v>11</v>
      </c>
      <c r="G18" s="335">
        <f>'4050 Mortality'!C16</f>
        <v>4.0000000000000003E-5</v>
      </c>
      <c r="H18" s="10">
        <f t="shared" si="7"/>
        <v>0.99995999999999996</v>
      </c>
      <c r="I18" s="243">
        <f t="shared" si="0"/>
        <v>0.99998333313888477</v>
      </c>
      <c r="J18" s="328"/>
      <c r="K18" s="10">
        <f t="shared" si="8"/>
        <v>1</v>
      </c>
      <c r="L18" s="256" t="str" cm="1">
        <f t="array" ref="L18">IF($F18&lt;K$1,"",INDEX('4044 Yield Curves'!$C$7:$C$66,MIN(60,2*($F18-K$1+0.5)),0))</f>
        <v/>
      </c>
      <c r="M18" s="10" t="str">
        <f t="shared" si="12"/>
        <v/>
      </c>
      <c r="N18" s="10">
        <f t="shared" si="9"/>
        <v>1</v>
      </c>
      <c r="O18" s="11">
        <f t="shared" ca="1" si="1"/>
        <v>0</v>
      </c>
      <c r="P18" s="11">
        <f t="shared" ca="1" si="2"/>
        <v>0</v>
      </c>
      <c r="Q18" s="355">
        <f t="shared" si="3"/>
        <v>0</v>
      </c>
      <c r="R18" s="10">
        <f t="shared" si="10"/>
        <v>1</v>
      </c>
      <c r="S18" s="256" t="str" cm="1">
        <f t="array" ref="S18">IF($F18&lt;R$1,"",INDEX('4044 Yield Curves'!$C$7:$C$66,MIN(60,2*($F18-R$1+0.5)),0))</f>
        <v/>
      </c>
      <c r="T18" s="10" t="str">
        <f t="shared" si="13"/>
        <v/>
      </c>
      <c r="U18" s="10">
        <f t="shared" si="14"/>
        <v>1</v>
      </c>
      <c r="V18" s="11">
        <f t="shared" ca="1" si="4"/>
        <v>0</v>
      </c>
      <c r="W18" s="11">
        <f t="shared" ca="1" si="5"/>
        <v>0</v>
      </c>
      <c r="X18" s="355">
        <f t="shared" si="11"/>
        <v>0</v>
      </c>
      <c r="Z18" s="284"/>
      <c r="AA18" s="285"/>
      <c r="AB18" s="338"/>
      <c r="AC18" s="339"/>
      <c r="AE18" s="287"/>
      <c r="AF18" s="287"/>
      <c r="AG18" s="14"/>
      <c r="AH18" s="14"/>
      <c r="AI18" s="289"/>
      <c r="AJ18" s="289"/>
      <c r="AK18" s="289"/>
      <c r="AL18" s="290"/>
    </row>
    <row r="19" spans="1:42" ht="14.5" customHeight="1" x14ac:dyDescent="0.3">
      <c r="A19" s="336" t="s">
        <v>102</v>
      </c>
      <c r="B19" s="187"/>
      <c r="C19" s="187"/>
      <c r="D19" s="187"/>
      <c r="E19" s="322"/>
      <c r="F19" s="8">
        <f t="shared" si="6"/>
        <v>12</v>
      </c>
      <c r="G19" s="335">
        <f>'4050 Mortality'!C17</f>
        <v>5.0000000000000002E-5</v>
      </c>
      <c r="H19" s="10">
        <f t="shared" si="7"/>
        <v>0.99995000000000001</v>
      </c>
      <c r="I19" s="243">
        <f t="shared" si="0"/>
        <v>0.99997916636283923</v>
      </c>
      <c r="J19" s="328"/>
      <c r="K19" s="10">
        <f t="shared" si="8"/>
        <v>1</v>
      </c>
      <c r="L19" s="256" t="str" cm="1">
        <f t="array" ref="L19">IF($F19&lt;K$1,"",INDEX('4044 Yield Curves'!$C$7:$C$66,MIN(60,2*($F19-K$1+0.5)),0))</f>
        <v/>
      </c>
      <c r="M19" s="10" t="str">
        <f t="shared" si="12"/>
        <v/>
      </c>
      <c r="N19" s="10">
        <f t="shared" si="9"/>
        <v>1</v>
      </c>
      <c r="O19" s="11">
        <f t="shared" ca="1" si="1"/>
        <v>0</v>
      </c>
      <c r="P19" s="11">
        <f t="shared" ca="1" si="2"/>
        <v>0</v>
      </c>
      <c r="Q19" s="355">
        <f t="shared" si="3"/>
        <v>0</v>
      </c>
      <c r="R19" s="10">
        <f t="shared" si="10"/>
        <v>1</v>
      </c>
      <c r="S19" s="256" t="str" cm="1">
        <f t="array" ref="S19">IF($F19&lt;R$1,"",INDEX('4044 Yield Curves'!$C$7:$C$66,MIN(60,2*($F19-R$1+0.5)),0))</f>
        <v/>
      </c>
      <c r="T19" s="10" t="str">
        <f t="shared" si="13"/>
        <v/>
      </c>
      <c r="U19" s="10">
        <f t="shared" si="14"/>
        <v>1</v>
      </c>
      <c r="V19" s="11">
        <f t="shared" ca="1" si="4"/>
        <v>0</v>
      </c>
      <c r="W19" s="11">
        <f t="shared" ca="1" si="5"/>
        <v>0</v>
      </c>
      <c r="X19" s="355">
        <f t="shared" si="11"/>
        <v>0</v>
      </c>
      <c r="Z19" s="284"/>
      <c r="AA19" s="285"/>
      <c r="AB19" s="338"/>
      <c r="AC19" s="339"/>
      <c r="AE19" s="287"/>
      <c r="AF19" s="287"/>
      <c r="AG19" s="14"/>
      <c r="AH19" s="14"/>
      <c r="AI19" s="289"/>
      <c r="AJ19" s="289"/>
      <c r="AK19" s="289"/>
      <c r="AL19" s="290"/>
    </row>
    <row r="20" spans="1:42" ht="14.5" customHeight="1" x14ac:dyDescent="0.3">
      <c r="A20" s="336" t="s">
        <v>103</v>
      </c>
      <c r="B20" s="345"/>
      <c r="C20" s="345"/>
      <c r="D20" s="346"/>
      <c r="E20" s="322"/>
      <c r="F20" s="8">
        <f t="shared" si="6"/>
        <v>13</v>
      </c>
      <c r="G20" s="335">
        <f>'4050 Mortality'!C18</f>
        <v>6.0000000000000002E-5</v>
      </c>
      <c r="H20" s="10">
        <f t="shared" si="7"/>
        <v>0.99994000000000005</v>
      </c>
      <c r="I20" s="243">
        <f t="shared" si="0"/>
        <v>0.99997499956248614</v>
      </c>
      <c r="J20" s="328"/>
      <c r="K20" s="10">
        <f t="shared" si="8"/>
        <v>1</v>
      </c>
      <c r="L20" s="256" t="str" cm="1">
        <f t="array" ref="L20">IF($F20&lt;K$1,"",INDEX('4044 Yield Curves'!$C$7:$C$66,MIN(60,2*($F20-K$1+0.5)),0))</f>
        <v/>
      </c>
      <c r="M20" s="10" t="str">
        <f t="shared" si="12"/>
        <v/>
      </c>
      <c r="N20" s="10">
        <f t="shared" si="9"/>
        <v>1</v>
      </c>
      <c r="O20" s="11">
        <f t="shared" ca="1" si="1"/>
        <v>0</v>
      </c>
      <c r="P20" s="11">
        <f t="shared" ca="1" si="2"/>
        <v>0</v>
      </c>
      <c r="Q20" s="355">
        <f t="shared" si="3"/>
        <v>0</v>
      </c>
      <c r="R20" s="10">
        <f t="shared" si="10"/>
        <v>1</v>
      </c>
      <c r="S20" s="256" t="str" cm="1">
        <f t="array" ref="S20">IF($F20&lt;R$1,"",INDEX('4044 Yield Curves'!$C$7:$C$66,MIN(60,2*($F20-R$1+0.5)),0))</f>
        <v/>
      </c>
      <c r="T20" s="10" t="str">
        <f t="shared" si="13"/>
        <v/>
      </c>
      <c r="U20" s="10">
        <f t="shared" si="14"/>
        <v>1</v>
      </c>
      <c r="V20" s="11">
        <f t="shared" ca="1" si="4"/>
        <v>0</v>
      </c>
      <c r="W20" s="11">
        <f t="shared" ca="1" si="5"/>
        <v>0</v>
      </c>
      <c r="X20" s="355">
        <f t="shared" si="11"/>
        <v>0</v>
      </c>
      <c r="Z20" s="284"/>
      <c r="AA20" s="285"/>
      <c r="AB20" s="338"/>
      <c r="AC20" s="339"/>
      <c r="AE20" s="287"/>
      <c r="AF20" s="287"/>
      <c r="AG20" s="14"/>
      <c r="AH20" s="14"/>
      <c r="AI20" s="289"/>
      <c r="AJ20" s="289"/>
      <c r="AK20" s="289"/>
      <c r="AL20" s="290"/>
    </row>
    <row r="21" spans="1:42" ht="14.5" customHeight="1" x14ac:dyDescent="0.3">
      <c r="A21" s="336" t="s">
        <v>104</v>
      </c>
      <c r="B21" s="342"/>
      <c r="C21" s="342"/>
      <c r="D21" s="343"/>
      <c r="E21" s="322"/>
      <c r="F21" s="8">
        <f t="shared" si="6"/>
        <v>14</v>
      </c>
      <c r="G21" s="335">
        <f>'4050 Mortality'!C19</f>
        <v>6.9999999999999994E-5</v>
      </c>
      <c r="H21" s="10">
        <f t="shared" si="7"/>
        <v>0.99992999999999999</v>
      </c>
      <c r="I21" s="243">
        <f t="shared" si="0"/>
        <v>0.99997083273782517</v>
      </c>
      <c r="J21" s="328"/>
      <c r="K21" s="10">
        <f t="shared" si="8"/>
        <v>1</v>
      </c>
      <c r="L21" s="256" t="str" cm="1">
        <f t="array" ref="L21">IF($F21&lt;K$1,"",INDEX('4044 Yield Curves'!$C$7:$C$66,MIN(60,2*($F21-K$1+0.5)),0))</f>
        <v/>
      </c>
      <c r="M21" s="10" t="str">
        <f t="shared" si="12"/>
        <v/>
      </c>
      <c r="N21" s="10">
        <f t="shared" si="9"/>
        <v>1</v>
      </c>
      <c r="O21" s="11">
        <f t="shared" ca="1" si="1"/>
        <v>0</v>
      </c>
      <c r="P21" s="11">
        <f t="shared" ca="1" si="2"/>
        <v>0</v>
      </c>
      <c r="Q21" s="355">
        <f t="shared" si="3"/>
        <v>0</v>
      </c>
      <c r="R21" s="10">
        <f t="shared" si="10"/>
        <v>1</v>
      </c>
      <c r="S21" s="256" t="str" cm="1">
        <f t="array" ref="S21">IF($F21&lt;R$1,"",INDEX('4044 Yield Curves'!$C$7:$C$66,MIN(60,2*($F21-R$1+0.5)),0))</f>
        <v/>
      </c>
      <c r="T21" s="10" t="str">
        <f t="shared" si="13"/>
        <v/>
      </c>
      <c r="U21" s="10">
        <f t="shared" si="14"/>
        <v>1</v>
      </c>
      <c r="V21" s="11">
        <f t="shared" ca="1" si="4"/>
        <v>0</v>
      </c>
      <c r="W21" s="11">
        <f t="shared" ca="1" si="5"/>
        <v>0</v>
      </c>
      <c r="X21" s="355">
        <f t="shared" si="11"/>
        <v>0</v>
      </c>
      <c r="Z21" s="284"/>
      <c r="AA21" s="285"/>
      <c r="AB21" s="338"/>
      <c r="AC21" s="339"/>
      <c r="AE21" s="287"/>
      <c r="AF21" s="287"/>
      <c r="AG21" s="14"/>
      <c r="AH21" s="14"/>
      <c r="AI21" s="289"/>
      <c r="AJ21" s="289"/>
      <c r="AK21" s="289"/>
      <c r="AL21" s="290"/>
    </row>
    <row r="22" spans="1:42" ht="13" x14ac:dyDescent="0.3">
      <c r="A22"/>
      <c r="B22" s="18"/>
      <c r="C22"/>
      <c r="D22"/>
      <c r="E22" s="322"/>
      <c r="F22" s="8">
        <f t="shared" si="6"/>
        <v>15</v>
      </c>
      <c r="G22" s="335">
        <f>'4050 Mortality'!C20</f>
        <v>8.0000000000000007E-5</v>
      </c>
      <c r="H22" s="10">
        <f t="shared" si="7"/>
        <v>0.99992000000000003</v>
      </c>
      <c r="I22" s="243">
        <f t="shared" si="0"/>
        <v>0.99996666588885608</v>
      </c>
      <c r="J22" s="328"/>
      <c r="K22" s="10">
        <f t="shared" si="8"/>
        <v>1</v>
      </c>
      <c r="L22" s="256" t="str" cm="1">
        <f t="array" ref="L22">IF($F22&lt;K$1,"",INDEX('4044 Yield Curves'!$C$7:$C$66,MIN(60,2*($F22-K$1+0.5)),0))</f>
        <v/>
      </c>
      <c r="M22" s="10" t="str">
        <f t="shared" si="12"/>
        <v/>
      </c>
      <c r="N22" s="10">
        <f t="shared" si="9"/>
        <v>1</v>
      </c>
      <c r="O22" s="11">
        <f t="shared" ca="1" si="1"/>
        <v>0</v>
      </c>
      <c r="P22" s="11">
        <f t="shared" ca="1" si="2"/>
        <v>0</v>
      </c>
      <c r="Q22" s="355">
        <f t="shared" si="3"/>
        <v>0</v>
      </c>
      <c r="R22" s="10">
        <f t="shared" si="10"/>
        <v>1</v>
      </c>
      <c r="S22" s="256" t="str" cm="1">
        <f t="array" ref="S22">IF($F22&lt;R$1,"",INDEX('4044 Yield Curves'!$C$7:$C$66,MIN(60,2*($F22-R$1+0.5)),0))</f>
        <v/>
      </c>
      <c r="T22" s="10" t="str">
        <f t="shared" si="13"/>
        <v/>
      </c>
      <c r="U22" s="10">
        <f t="shared" si="14"/>
        <v>1</v>
      </c>
      <c r="V22" s="11">
        <f t="shared" ca="1" si="4"/>
        <v>0</v>
      </c>
      <c r="W22" s="11">
        <f t="shared" ca="1" si="5"/>
        <v>0</v>
      </c>
      <c r="X22" s="355">
        <f t="shared" si="11"/>
        <v>0</v>
      </c>
      <c r="Z22" s="284"/>
      <c r="AA22" s="285"/>
      <c r="AB22" s="338"/>
      <c r="AC22" s="339"/>
      <c r="AE22" s="287"/>
      <c r="AF22" s="287"/>
      <c r="AG22" s="14"/>
      <c r="AH22" s="14"/>
      <c r="AI22" s="289"/>
      <c r="AJ22" s="289"/>
      <c r="AK22" s="289"/>
      <c r="AL22" s="290"/>
    </row>
    <row r="23" spans="1:42" ht="12.75" customHeight="1" x14ac:dyDescent="0.3">
      <c r="A23"/>
      <c r="B23"/>
      <c r="C23"/>
      <c r="D23"/>
      <c r="E23" s="322"/>
      <c r="F23" s="8">
        <f t="shared" si="6"/>
        <v>16</v>
      </c>
      <c r="G23" s="335">
        <f>'4050 Mortality'!C21</f>
        <v>1E-4</v>
      </c>
      <c r="H23" s="10">
        <f t="shared" si="7"/>
        <v>0.99990000000000001</v>
      </c>
      <c r="I23" s="243">
        <f t="shared" si="0"/>
        <v>0.99995833211799146</v>
      </c>
      <c r="J23" s="328"/>
      <c r="K23" s="10">
        <f t="shared" si="8"/>
        <v>1</v>
      </c>
      <c r="L23" s="256" t="str" cm="1">
        <f t="array" ref="L23">IF($F23&lt;K$1,"",INDEX('4044 Yield Curves'!$C$7:$C$66,MIN(60,2*($F23-K$1+0.5)),0))</f>
        <v/>
      </c>
      <c r="M23" s="10" t="str">
        <f t="shared" si="12"/>
        <v/>
      </c>
      <c r="N23" s="10">
        <f t="shared" si="9"/>
        <v>1</v>
      </c>
      <c r="O23" s="11">
        <f t="shared" ca="1" si="1"/>
        <v>0</v>
      </c>
      <c r="P23" s="11">
        <f t="shared" ca="1" si="2"/>
        <v>0</v>
      </c>
      <c r="Q23" s="355">
        <f t="shared" si="3"/>
        <v>0</v>
      </c>
      <c r="R23" s="10">
        <f t="shared" si="10"/>
        <v>1</v>
      </c>
      <c r="S23" s="256" t="str" cm="1">
        <f t="array" ref="S23">IF($F23&lt;R$1,"",INDEX('4044 Yield Curves'!$C$7:$C$66,MIN(60,2*($F23-R$1+0.5)),0))</f>
        <v/>
      </c>
      <c r="T23" s="10" t="str">
        <f t="shared" si="13"/>
        <v/>
      </c>
      <c r="U23" s="10">
        <f t="shared" si="14"/>
        <v>1</v>
      </c>
      <c r="V23" s="11">
        <f t="shared" ca="1" si="4"/>
        <v>0</v>
      </c>
      <c r="W23" s="11">
        <f t="shared" ca="1" si="5"/>
        <v>0</v>
      </c>
      <c r="X23" s="355">
        <f t="shared" si="11"/>
        <v>0</v>
      </c>
      <c r="Z23" s="284"/>
      <c r="AA23" s="285"/>
      <c r="AB23" s="338"/>
      <c r="AC23" s="339"/>
      <c r="AE23" s="178"/>
      <c r="AF23" s="178"/>
      <c r="AG23" s="14"/>
      <c r="AH23" s="14"/>
      <c r="AI23" s="289"/>
      <c r="AJ23" s="289"/>
      <c r="AK23" s="289"/>
      <c r="AL23" s="290"/>
      <c r="AM23" s="178"/>
      <c r="AN23" s="178"/>
      <c r="AO23" s="178"/>
      <c r="AP23" s="178"/>
    </row>
    <row r="24" spans="1:42" ht="13" x14ac:dyDescent="0.3">
      <c r="A24"/>
      <c r="B24"/>
      <c r="C24" s="268"/>
      <c r="D24"/>
      <c r="E24" s="322"/>
      <c r="F24" s="8">
        <f t="shared" si="6"/>
        <v>17</v>
      </c>
      <c r="G24" s="335">
        <f>'4050 Mortality'!C22</f>
        <v>1.2E-4</v>
      </c>
      <c r="H24" s="10">
        <f t="shared" si="7"/>
        <v>0.99987999999999999</v>
      </c>
      <c r="I24" s="243">
        <f t="shared" si="0"/>
        <v>0.99994999824988917</v>
      </c>
      <c r="J24" s="328"/>
      <c r="K24" s="10">
        <f t="shared" si="8"/>
        <v>1</v>
      </c>
      <c r="L24" s="256" t="str" cm="1">
        <f t="array" ref="L24">IF($F24&lt;K$1,"",INDEX('4044 Yield Curves'!$C$7:$C$66,MIN(60,2*($F24-K$1+0.5)),0))</f>
        <v/>
      </c>
      <c r="M24" s="10" t="str">
        <f t="shared" si="12"/>
        <v/>
      </c>
      <c r="N24" s="10">
        <f t="shared" si="9"/>
        <v>1</v>
      </c>
      <c r="O24" s="11">
        <f t="shared" ca="1" si="1"/>
        <v>0</v>
      </c>
      <c r="P24" s="11">
        <f t="shared" ca="1" si="2"/>
        <v>0</v>
      </c>
      <c r="Q24" s="355">
        <f t="shared" si="3"/>
        <v>0</v>
      </c>
      <c r="R24" s="10">
        <f t="shared" si="10"/>
        <v>1</v>
      </c>
      <c r="S24" s="256" t="str" cm="1">
        <f t="array" ref="S24">IF($F24&lt;R$1,"",INDEX('4044 Yield Curves'!$C$7:$C$66,MIN(60,2*($F24-R$1+0.5)),0))</f>
        <v/>
      </c>
      <c r="T24" s="10" t="str">
        <f t="shared" si="13"/>
        <v/>
      </c>
      <c r="U24" s="10">
        <f t="shared" si="14"/>
        <v>1</v>
      </c>
      <c r="V24" s="11">
        <f t="shared" ca="1" si="4"/>
        <v>0</v>
      </c>
      <c r="W24" s="11">
        <f t="shared" ca="1" si="5"/>
        <v>0</v>
      </c>
      <c r="X24" s="355">
        <f t="shared" si="11"/>
        <v>0</v>
      </c>
      <c r="Z24" s="284"/>
      <c r="AA24" s="285"/>
      <c r="AB24" s="338"/>
      <c r="AC24" s="339"/>
      <c r="AD24" s="279"/>
      <c r="AE24" s="287"/>
      <c r="AF24" s="287"/>
      <c r="AG24" s="14"/>
      <c r="AH24" s="14"/>
      <c r="AI24" s="289"/>
      <c r="AJ24" s="289"/>
      <c r="AK24" s="289"/>
      <c r="AL24" s="290"/>
    </row>
    <row r="25" spans="1:42" ht="14" x14ac:dyDescent="0.3">
      <c r="A25"/>
      <c r="B25"/>
      <c r="C25"/>
      <c r="D25"/>
      <c r="E25" s="322"/>
      <c r="F25" s="8">
        <f t="shared" si="6"/>
        <v>18</v>
      </c>
      <c r="G25" s="335">
        <f>'4050 Mortality'!C23</f>
        <v>1.3999999999999999E-4</v>
      </c>
      <c r="H25" s="10">
        <f t="shared" si="7"/>
        <v>0.99985999999999997</v>
      </c>
      <c r="I25" s="243">
        <f t="shared" si="0"/>
        <v>0.99994166428454623</v>
      </c>
      <c r="J25" s="328"/>
      <c r="K25" s="10">
        <f t="shared" si="8"/>
        <v>1</v>
      </c>
      <c r="L25" s="256" t="str" cm="1">
        <f t="array" ref="L25">IF($F25&lt;K$1,"",INDEX('4044 Yield Curves'!$C$7:$C$66,MIN(60,2*($F25-K$1+0.5)),0))</f>
        <v/>
      </c>
      <c r="M25" s="10" t="str">
        <f t="shared" si="12"/>
        <v/>
      </c>
      <c r="N25" s="10">
        <f t="shared" si="9"/>
        <v>1</v>
      </c>
      <c r="O25" s="11">
        <f t="shared" ca="1" si="1"/>
        <v>0</v>
      </c>
      <c r="P25" s="11">
        <f t="shared" ca="1" si="2"/>
        <v>0</v>
      </c>
      <c r="Q25" s="355">
        <f t="shared" si="3"/>
        <v>0</v>
      </c>
      <c r="R25" s="10">
        <f t="shared" si="10"/>
        <v>1</v>
      </c>
      <c r="S25" s="256" t="str" cm="1">
        <f t="array" ref="S25">IF($F25&lt;R$1,"",INDEX('4044 Yield Curves'!$C$7:$C$66,MIN(60,2*($F25-R$1+0.5)),0))</f>
        <v/>
      </c>
      <c r="T25" s="10" t="str">
        <f t="shared" si="13"/>
        <v/>
      </c>
      <c r="U25" s="10">
        <f t="shared" si="14"/>
        <v>1</v>
      </c>
      <c r="V25" s="11">
        <f t="shared" ca="1" si="4"/>
        <v>0</v>
      </c>
      <c r="W25" s="11">
        <f t="shared" ca="1" si="5"/>
        <v>0</v>
      </c>
      <c r="X25" s="355">
        <f t="shared" si="11"/>
        <v>0</v>
      </c>
      <c r="Z25" s="284"/>
      <c r="AA25" s="285"/>
      <c r="AB25" s="338"/>
      <c r="AC25" s="339"/>
      <c r="AD25" s="178"/>
      <c r="AE25" s="287"/>
      <c r="AF25" s="287"/>
      <c r="AG25" s="14"/>
      <c r="AH25" s="14"/>
      <c r="AI25" s="289"/>
      <c r="AJ25" s="289"/>
      <c r="AK25" s="289"/>
      <c r="AL25" s="290"/>
    </row>
    <row r="26" spans="1:42" ht="13" x14ac:dyDescent="0.3">
      <c r="A26"/>
      <c r="B26"/>
      <c r="C26"/>
      <c r="D26"/>
      <c r="E26" s="322"/>
      <c r="F26" s="8">
        <f t="shared" si="6"/>
        <v>19</v>
      </c>
      <c r="G26" s="335">
        <f>'4050 Mortality'!C24</f>
        <v>1.4999999999999999E-4</v>
      </c>
      <c r="H26" s="10">
        <f t="shared" si="7"/>
        <v>0.99985000000000002</v>
      </c>
      <c r="I26" s="243">
        <f t="shared" si="0"/>
        <v>0.99993749726540848</v>
      </c>
      <c r="J26" s="328"/>
      <c r="K26" s="10">
        <f t="shared" si="8"/>
        <v>1</v>
      </c>
      <c r="L26" s="256" t="str" cm="1">
        <f t="array" ref="L26">IF($F26&lt;K$1,"",INDEX('4044 Yield Curves'!$C$7:$C$66,MIN(60,2*($F26-K$1+0.5)),0))</f>
        <v/>
      </c>
      <c r="M26" s="10" t="str">
        <f t="shared" si="12"/>
        <v/>
      </c>
      <c r="N26" s="10">
        <f t="shared" si="9"/>
        <v>1</v>
      </c>
      <c r="O26" s="11">
        <f t="shared" ca="1" si="1"/>
        <v>0</v>
      </c>
      <c r="P26" s="11">
        <f t="shared" ca="1" si="2"/>
        <v>0</v>
      </c>
      <c r="Q26" s="355">
        <f t="shared" si="3"/>
        <v>0</v>
      </c>
      <c r="R26" s="10">
        <f t="shared" si="10"/>
        <v>1</v>
      </c>
      <c r="S26" s="256" t="str" cm="1">
        <f t="array" ref="S26">IF($F26&lt;R$1,"",INDEX('4044 Yield Curves'!$C$7:$C$66,MIN(60,2*($F26-R$1+0.5)),0))</f>
        <v/>
      </c>
      <c r="T26" s="10" t="str">
        <f t="shared" si="13"/>
        <v/>
      </c>
      <c r="U26" s="10">
        <f t="shared" si="14"/>
        <v>1</v>
      </c>
      <c r="V26" s="11">
        <f t="shared" ca="1" si="4"/>
        <v>0</v>
      </c>
      <c r="W26" s="11">
        <f t="shared" ca="1" si="5"/>
        <v>0</v>
      </c>
      <c r="X26" s="355">
        <f t="shared" si="11"/>
        <v>0</v>
      </c>
      <c r="Z26" s="284"/>
      <c r="AA26" s="285"/>
      <c r="AB26" s="338"/>
      <c r="AC26" s="339"/>
      <c r="AD26" s="279"/>
      <c r="AE26" s="287"/>
      <c r="AF26" s="287"/>
      <c r="AG26" s="14"/>
      <c r="AH26" s="14"/>
      <c r="AI26" s="289"/>
      <c r="AJ26" s="289"/>
      <c r="AK26" s="289"/>
      <c r="AL26" s="290"/>
    </row>
    <row r="27" spans="1:42" ht="13" x14ac:dyDescent="0.3">
      <c r="A27"/>
      <c r="B27"/>
      <c r="C27"/>
      <c r="D27"/>
      <c r="E27" s="322"/>
      <c r="F27" s="8">
        <f t="shared" si="6"/>
        <v>20</v>
      </c>
      <c r="G27" s="335">
        <f>'4050 Mortality'!C25</f>
        <v>1.6000000000000001E-4</v>
      </c>
      <c r="H27" s="10">
        <f t="shared" si="7"/>
        <v>0.99983999999999995</v>
      </c>
      <c r="I27" s="243">
        <f t="shared" si="0"/>
        <v>0.9999333302219594</v>
      </c>
      <c r="J27" s="328"/>
      <c r="K27" s="10">
        <f t="shared" si="8"/>
        <v>1</v>
      </c>
      <c r="L27" s="256" t="str" cm="1">
        <f t="array" ref="L27">IF($F27&lt;K$1,"",INDEX('4044 Yield Curves'!$C$7:$C$66,MIN(60,2*($F27-K$1+0.5)),0))</f>
        <v/>
      </c>
      <c r="M27" s="10" t="str">
        <f t="shared" si="12"/>
        <v/>
      </c>
      <c r="N27" s="10">
        <f t="shared" si="9"/>
        <v>1</v>
      </c>
      <c r="O27" s="11">
        <f t="shared" ca="1" si="1"/>
        <v>0</v>
      </c>
      <c r="P27" s="11">
        <f t="shared" ca="1" si="2"/>
        <v>0</v>
      </c>
      <c r="Q27" s="355">
        <f t="shared" si="3"/>
        <v>0</v>
      </c>
      <c r="R27" s="10">
        <f t="shared" si="10"/>
        <v>1</v>
      </c>
      <c r="S27" s="256" t="str" cm="1">
        <f t="array" ref="S27">IF($F27&lt;R$1,"",INDEX('4044 Yield Curves'!$C$7:$C$66,MIN(60,2*($F27-R$1+0.5)),0))</f>
        <v/>
      </c>
      <c r="T27" s="10" t="str">
        <f t="shared" si="13"/>
        <v/>
      </c>
      <c r="U27" s="10">
        <f t="shared" si="14"/>
        <v>1</v>
      </c>
      <c r="V27" s="11">
        <f t="shared" ca="1" si="4"/>
        <v>0</v>
      </c>
      <c r="W27" s="11">
        <f t="shared" ca="1" si="5"/>
        <v>0</v>
      </c>
      <c r="X27" s="355">
        <f t="shared" si="11"/>
        <v>0</v>
      </c>
      <c r="Z27" s="284"/>
      <c r="AA27" s="285"/>
      <c r="AB27" s="338"/>
      <c r="AC27" s="339"/>
      <c r="AD27" s="279"/>
      <c r="AE27" s="287"/>
      <c r="AF27" s="287"/>
      <c r="AG27" s="14"/>
      <c r="AH27" s="14"/>
      <c r="AI27" s="289"/>
      <c r="AJ27" s="289"/>
      <c r="AK27" s="289"/>
      <c r="AL27" s="290"/>
    </row>
    <row r="28" spans="1:42" ht="13" x14ac:dyDescent="0.3">
      <c r="A28"/>
      <c r="B28"/>
      <c r="C28"/>
      <c r="D28"/>
      <c r="E28" s="322"/>
      <c r="F28" s="8">
        <f t="shared" si="6"/>
        <v>21</v>
      </c>
      <c r="G28" s="335">
        <f>'4050 Mortality'!C26</f>
        <v>1.6000000000000001E-4</v>
      </c>
      <c r="H28" s="10">
        <f t="shared" si="7"/>
        <v>0.99983999999999995</v>
      </c>
      <c r="I28" s="243">
        <f t="shared" si="0"/>
        <v>0.9999333302219594</v>
      </c>
      <c r="J28" s="328"/>
      <c r="K28" s="10">
        <f t="shared" si="8"/>
        <v>1</v>
      </c>
      <c r="L28" s="256" t="str" cm="1">
        <f t="array" ref="L28">IF($F28&lt;K$1,"",INDEX('4044 Yield Curves'!$C$7:$C$66,MIN(60,2*($F28-K$1+0.5)),0))</f>
        <v/>
      </c>
      <c r="M28" s="10" t="str">
        <f t="shared" si="12"/>
        <v/>
      </c>
      <c r="N28" s="10">
        <f t="shared" si="9"/>
        <v>1</v>
      </c>
      <c r="O28" s="11">
        <f t="shared" ca="1" si="1"/>
        <v>0</v>
      </c>
      <c r="P28" s="11">
        <f t="shared" ca="1" si="2"/>
        <v>0</v>
      </c>
      <c r="Q28" s="355">
        <f t="shared" si="3"/>
        <v>0</v>
      </c>
      <c r="R28" s="10">
        <f t="shared" si="10"/>
        <v>1</v>
      </c>
      <c r="S28" s="256" t="str" cm="1">
        <f t="array" ref="S28">IF($F28&lt;R$1,"",INDEX('4044 Yield Curves'!$C$7:$C$66,MIN(60,2*($F28-R$1+0.5)),0))</f>
        <v/>
      </c>
      <c r="T28" s="10" t="str">
        <f t="shared" si="13"/>
        <v/>
      </c>
      <c r="U28" s="10">
        <f t="shared" si="14"/>
        <v>1</v>
      </c>
      <c r="V28" s="11">
        <f t="shared" ca="1" si="4"/>
        <v>0</v>
      </c>
      <c r="W28" s="11">
        <f t="shared" ca="1" si="5"/>
        <v>0</v>
      </c>
      <c r="X28" s="355">
        <f t="shared" si="11"/>
        <v>0</v>
      </c>
      <c r="Z28" s="284"/>
      <c r="AA28" s="285"/>
      <c r="AB28" s="338"/>
      <c r="AC28" s="339"/>
      <c r="AD28" s="279"/>
      <c r="AE28" s="287"/>
      <c r="AF28" s="287"/>
      <c r="AG28" s="14"/>
      <c r="AH28" s="14"/>
      <c r="AI28" s="289"/>
      <c r="AJ28" s="289"/>
      <c r="AK28" s="289"/>
      <c r="AL28" s="290"/>
    </row>
    <row r="29" spans="1:42" ht="13" x14ac:dyDescent="0.3">
      <c r="A29"/>
      <c r="B29"/>
      <c r="C29"/>
      <c r="D29"/>
      <c r="E29" s="322"/>
      <c r="F29" s="8">
        <f t="shared" si="6"/>
        <v>22</v>
      </c>
      <c r="G29" s="335">
        <f>'4050 Mortality'!C27</f>
        <v>1.7000000000000001E-4</v>
      </c>
      <c r="H29" s="10">
        <f t="shared" si="7"/>
        <v>0.99983</v>
      </c>
      <c r="I29" s="243">
        <f t="shared" si="0"/>
        <v>0.99992916315419877</v>
      </c>
      <c r="J29" s="328"/>
      <c r="K29" s="10">
        <f t="shared" si="8"/>
        <v>1</v>
      </c>
      <c r="L29" s="256" t="str" cm="1">
        <f t="array" ref="L29">IF($F29&lt;K$1,"",INDEX('4044 Yield Curves'!$C$7:$C$66,MIN(60,2*($F29-K$1+0.5)),0))</f>
        <v/>
      </c>
      <c r="M29" s="10" t="str">
        <f t="shared" si="12"/>
        <v/>
      </c>
      <c r="N29" s="10">
        <f t="shared" si="9"/>
        <v>1</v>
      </c>
      <c r="O29" s="11">
        <f t="shared" ca="1" si="1"/>
        <v>0</v>
      </c>
      <c r="P29" s="11">
        <f t="shared" ca="1" si="2"/>
        <v>0</v>
      </c>
      <c r="Q29" s="355">
        <f t="shared" si="3"/>
        <v>0</v>
      </c>
      <c r="R29" s="10">
        <f t="shared" si="10"/>
        <v>1</v>
      </c>
      <c r="S29" s="256" t="str" cm="1">
        <f t="array" ref="S29">IF($F29&lt;R$1,"",INDEX('4044 Yield Curves'!$C$7:$C$66,MIN(60,2*($F29-R$1+0.5)),0))</f>
        <v/>
      </c>
      <c r="T29" s="10" t="str">
        <f t="shared" si="13"/>
        <v/>
      </c>
      <c r="U29" s="10">
        <f t="shared" si="14"/>
        <v>1</v>
      </c>
      <c r="V29" s="11">
        <f t="shared" ca="1" si="4"/>
        <v>0</v>
      </c>
      <c r="W29" s="11">
        <f t="shared" ca="1" si="5"/>
        <v>0</v>
      </c>
      <c r="X29" s="355">
        <f t="shared" si="11"/>
        <v>0</v>
      </c>
      <c r="Z29" s="284"/>
      <c r="AA29" s="285"/>
      <c r="AB29" s="338"/>
      <c r="AC29" s="339"/>
      <c r="AD29" s="279"/>
      <c r="AE29" s="287"/>
      <c r="AF29" s="287"/>
      <c r="AG29" s="14"/>
      <c r="AH29" s="14"/>
      <c r="AI29" s="289"/>
      <c r="AJ29" s="289"/>
      <c r="AK29" s="289"/>
      <c r="AL29" s="290"/>
    </row>
    <row r="30" spans="1:42" ht="13" x14ac:dyDescent="0.3">
      <c r="A30"/>
      <c r="B30"/>
      <c r="C30"/>
      <c r="D30"/>
      <c r="E30" s="322"/>
      <c r="F30" s="8">
        <f t="shared" si="6"/>
        <v>23</v>
      </c>
      <c r="G30" s="335">
        <f>'4050 Mortality'!C28</f>
        <v>1.8000000000000001E-4</v>
      </c>
      <c r="H30" s="10">
        <f t="shared" si="7"/>
        <v>0.99982000000000004</v>
      </c>
      <c r="I30" s="243">
        <f t="shared" si="0"/>
        <v>0.99992499606212593</v>
      </c>
      <c r="J30" s="328"/>
      <c r="K30" s="10">
        <f t="shared" si="8"/>
        <v>1</v>
      </c>
      <c r="L30" s="256" t="str" cm="1">
        <f t="array" ref="L30">IF($F30&lt;K$1,"",INDEX('4044 Yield Curves'!$C$7:$C$66,MIN(60,2*($F30-K$1+0.5)),0))</f>
        <v/>
      </c>
      <c r="M30" s="10" t="str">
        <f t="shared" si="12"/>
        <v/>
      </c>
      <c r="N30" s="10">
        <f t="shared" si="9"/>
        <v>1</v>
      </c>
      <c r="O30" s="11">
        <f t="shared" ca="1" si="1"/>
        <v>0</v>
      </c>
      <c r="P30" s="11">
        <f t="shared" ca="1" si="2"/>
        <v>0</v>
      </c>
      <c r="Q30" s="355">
        <f t="shared" si="3"/>
        <v>0</v>
      </c>
      <c r="R30" s="10">
        <f t="shared" si="10"/>
        <v>1</v>
      </c>
      <c r="S30" s="256" t="str" cm="1">
        <f t="array" ref="S30">IF($F30&lt;R$1,"",INDEX('4044 Yield Curves'!$C$7:$C$66,MIN(60,2*($F30-R$1+0.5)),0))</f>
        <v/>
      </c>
      <c r="T30" s="10" t="str">
        <f t="shared" si="13"/>
        <v/>
      </c>
      <c r="U30" s="10">
        <f t="shared" si="14"/>
        <v>1</v>
      </c>
      <c r="V30" s="11">
        <f t="shared" ca="1" si="4"/>
        <v>0</v>
      </c>
      <c r="W30" s="11">
        <f t="shared" ca="1" si="5"/>
        <v>0</v>
      </c>
      <c r="X30" s="355">
        <f t="shared" si="11"/>
        <v>0</v>
      </c>
      <c r="Z30" s="284"/>
      <c r="AA30" s="285"/>
      <c r="AB30" s="338"/>
      <c r="AC30" s="339"/>
      <c r="AD30" s="279"/>
      <c r="AE30" s="287"/>
      <c r="AF30" s="287"/>
      <c r="AG30" s="14"/>
      <c r="AH30" s="14"/>
      <c r="AI30" s="289"/>
      <c r="AJ30" s="289"/>
      <c r="AK30" s="289"/>
      <c r="AL30" s="290"/>
    </row>
    <row r="31" spans="1:42" ht="13" x14ac:dyDescent="0.3">
      <c r="A31"/>
      <c r="B31"/>
      <c r="C31"/>
      <c r="D31"/>
      <c r="E31" s="322"/>
      <c r="F31" s="8">
        <f t="shared" si="6"/>
        <v>24</v>
      </c>
      <c r="G31" s="335">
        <f>'4050 Mortality'!C29</f>
        <v>1.9000000000000001E-4</v>
      </c>
      <c r="H31" s="10">
        <f t="shared" si="7"/>
        <v>0.99980999999999998</v>
      </c>
      <c r="I31" s="243">
        <f t="shared" si="0"/>
        <v>0.99992082894574053</v>
      </c>
      <c r="J31" s="328"/>
      <c r="K31" s="10">
        <f t="shared" si="8"/>
        <v>1</v>
      </c>
      <c r="L31" s="256" t="str" cm="1">
        <f t="array" ref="L31">IF($F31&lt;K$1,"",INDEX('4044 Yield Curves'!$C$7:$C$66,MIN(60,2*($F31-K$1+0.5)),0))</f>
        <v/>
      </c>
      <c r="M31" s="10" t="str">
        <f t="shared" si="12"/>
        <v/>
      </c>
      <c r="N31" s="10">
        <f t="shared" si="9"/>
        <v>1</v>
      </c>
      <c r="O31" s="11">
        <f t="shared" ca="1" si="1"/>
        <v>0</v>
      </c>
      <c r="P31" s="11">
        <f t="shared" ca="1" si="2"/>
        <v>0</v>
      </c>
      <c r="Q31" s="355">
        <f t="shared" si="3"/>
        <v>0</v>
      </c>
      <c r="R31" s="10">
        <f t="shared" si="10"/>
        <v>1</v>
      </c>
      <c r="S31" s="256" t="str" cm="1">
        <f t="array" ref="S31">IF($F31&lt;R$1,"",INDEX('4044 Yield Curves'!$C$7:$C$66,MIN(60,2*($F31-R$1+0.5)),0))</f>
        <v/>
      </c>
      <c r="T31" s="10" t="str">
        <f t="shared" si="13"/>
        <v/>
      </c>
      <c r="U31" s="10">
        <f t="shared" si="14"/>
        <v>1</v>
      </c>
      <c r="V31" s="11">
        <f t="shared" ca="1" si="4"/>
        <v>0</v>
      </c>
      <c r="W31" s="11">
        <f t="shared" ca="1" si="5"/>
        <v>0</v>
      </c>
      <c r="X31" s="355">
        <f t="shared" si="11"/>
        <v>0</v>
      </c>
      <c r="Z31" s="284"/>
      <c r="AA31" s="285"/>
      <c r="AB31" s="338"/>
      <c r="AC31" s="339"/>
      <c r="AD31" s="279"/>
      <c r="AE31" s="287"/>
      <c r="AF31" s="287"/>
      <c r="AG31" s="14"/>
      <c r="AH31" s="14"/>
      <c r="AI31" s="289"/>
      <c r="AJ31" s="289"/>
      <c r="AK31" s="289"/>
      <c r="AL31" s="290"/>
    </row>
    <row r="32" spans="1:42" ht="13" x14ac:dyDescent="0.3">
      <c r="A32"/>
      <c r="B32"/>
      <c r="C32"/>
      <c r="D32"/>
      <c r="E32" s="322"/>
      <c r="F32" s="8">
        <f t="shared" si="6"/>
        <v>25</v>
      </c>
      <c r="G32" s="335">
        <f>'4050 Mortality'!C30</f>
        <v>1.9000000000000001E-4</v>
      </c>
      <c r="H32" s="10">
        <f t="shared" si="7"/>
        <v>0.99980999999999998</v>
      </c>
      <c r="I32" s="243">
        <f t="shared" si="0"/>
        <v>0.99992082894574053</v>
      </c>
      <c r="J32" s="328"/>
      <c r="K32" s="10">
        <f t="shared" si="8"/>
        <v>1</v>
      </c>
      <c r="L32" s="256" t="str" cm="1">
        <f t="array" ref="L32">IF($F32&lt;K$1,"",INDEX('4044 Yield Curves'!$C$7:$C$66,MIN(60,2*($F32-K$1+0.5)),0))</f>
        <v/>
      </c>
      <c r="M32" s="10" t="str">
        <f t="shared" si="12"/>
        <v/>
      </c>
      <c r="N32" s="10">
        <f t="shared" si="9"/>
        <v>1</v>
      </c>
      <c r="O32" s="11">
        <f t="shared" ca="1" si="1"/>
        <v>0</v>
      </c>
      <c r="P32" s="11">
        <f t="shared" ca="1" si="2"/>
        <v>0</v>
      </c>
      <c r="Q32" s="355">
        <f t="shared" si="3"/>
        <v>0</v>
      </c>
      <c r="R32" s="10">
        <f t="shared" si="10"/>
        <v>1</v>
      </c>
      <c r="S32" s="256" t="str" cm="1">
        <f t="array" ref="S32">IF($F32&lt;R$1,"",INDEX('4044 Yield Curves'!$C$7:$C$66,MIN(60,2*($F32-R$1+0.5)),0))</f>
        <v/>
      </c>
      <c r="T32" s="10" t="str">
        <f t="shared" si="13"/>
        <v/>
      </c>
      <c r="U32" s="10">
        <f t="shared" si="14"/>
        <v>1</v>
      </c>
      <c r="V32" s="11">
        <f t="shared" ca="1" si="4"/>
        <v>0</v>
      </c>
      <c r="W32" s="11">
        <f t="shared" ca="1" si="5"/>
        <v>0</v>
      </c>
      <c r="X32" s="355">
        <f t="shared" si="11"/>
        <v>0</v>
      </c>
      <c r="Z32" s="284"/>
      <c r="AA32" s="285"/>
      <c r="AB32" s="338"/>
      <c r="AC32" s="339"/>
      <c r="AD32" s="279"/>
      <c r="AE32" s="287"/>
      <c r="AF32" s="287"/>
      <c r="AG32" s="14"/>
      <c r="AH32" s="14"/>
      <c r="AI32" s="289"/>
      <c r="AJ32" s="289"/>
      <c r="AK32" s="289"/>
      <c r="AL32" s="290"/>
    </row>
    <row r="33" spans="1:38" ht="13" x14ac:dyDescent="0.3">
      <c r="A33"/>
      <c r="B33"/>
      <c r="C33"/>
      <c r="D33"/>
      <c r="E33" s="322"/>
      <c r="F33" s="8">
        <f t="shared" si="6"/>
        <v>26</v>
      </c>
      <c r="G33" s="335">
        <f>'4050 Mortality'!C31</f>
        <v>2.0000000000000001E-4</v>
      </c>
      <c r="H33" s="10">
        <f t="shared" si="7"/>
        <v>0.99980000000000002</v>
      </c>
      <c r="I33" s="243">
        <f t="shared" si="0"/>
        <v>0.99991666180504235</v>
      </c>
      <c r="J33" s="328"/>
      <c r="K33" s="10">
        <f t="shared" si="8"/>
        <v>1</v>
      </c>
      <c r="L33" s="256" t="str" cm="1">
        <f t="array" ref="L33">IF($F33&lt;K$1,"",INDEX('4044 Yield Curves'!$C$7:$C$66,MIN(60,2*($F33-K$1+0.5)),0))</f>
        <v/>
      </c>
      <c r="M33" s="10" t="str">
        <f t="shared" si="12"/>
        <v/>
      </c>
      <c r="N33" s="10">
        <f t="shared" si="9"/>
        <v>1</v>
      </c>
      <c r="O33" s="11">
        <f t="shared" ca="1" si="1"/>
        <v>0</v>
      </c>
      <c r="P33" s="11">
        <f t="shared" ca="1" si="2"/>
        <v>0</v>
      </c>
      <c r="Q33" s="355">
        <f t="shared" si="3"/>
        <v>0</v>
      </c>
      <c r="R33" s="10">
        <f t="shared" si="10"/>
        <v>1</v>
      </c>
      <c r="S33" s="256" t="str" cm="1">
        <f t="array" ref="S33">IF($F33&lt;R$1,"",INDEX('4044 Yield Curves'!$C$7:$C$66,MIN(60,2*($F33-R$1+0.5)),0))</f>
        <v/>
      </c>
      <c r="T33" s="10" t="str">
        <f t="shared" si="13"/>
        <v/>
      </c>
      <c r="U33" s="10">
        <f t="shared" si="14"/>
        <v>1</v>
      </c>
      <c r="V33" s="11">
        <f t="shared" ca="1" si="4"/>
        <v>0</v>
      </c>
      <c r="W33" s="11">
        <f t="shared" ca="1" si="5"/>
        <v>0</v>
      </c>
      <c r="X33" s="355">
        <f t="shared" si="11"/>
        <v>0</v>
      </c>
      <c r="Z33" s="284"/>
      <c r="AA33" s="285"/>
      <c r="AB33" s="338"/>
      <c r="AC33" s="339"/>
      <c r="AD33" s="279"/>
      <c r="AE33" s="287"/>
      <c r="AF33" s="287"/>
      <c r="AG33" s="14"/>
      <c r="AH33" s="14"/>
      <c r="AI33" s="289"/>
      <c r="AJ33" s="289"/>
      <c r="AK33" s="289"/>
      <c r="AL33" s="290"/>
    </row>
    <row r="34" spans="1:38" ht="13" x14ac:dyDescent="0.3">
      <c r="A34"/>
      <c r="B34" s="268"/>
      <c r="C34" s="268"/>
      <c r="D34" s="268"/>
      <c r="E34" s="322"/>
      <c r="F34" s="8">
        <f t="shared" si="6"/>
        <v>27</v>
      </c>
      <c r="G34" s="335">
        <f>'4050 Mortality'!C32</f>
        <v>2.1000000000000001E-4</v>
      </c>
      <c r="H34" s="10">
        <f t="shared" si="7"/>
        <v>0.99978999999999996</v>
      </c>
      <c r="I34" s="243">
        <f t="shared" si="0"/>
        <v>0.99991249464003096</v>
      </c>
      <c r="J34" s="328"/>
      <c r="K34" s="10">
        <f t="shared" si="8"/>
        <v>1</v>
      </c>
      <c r="L34" s="256" t="str" cm="1">
        <f t="array" ref="L34">IF($F34&lt;K$1,"",INDEX('4044 Yield Curves'!$C$7:$C$66,MIN(60,2*($F34-K$1+0.5)),0))</f>
        <v/>
      </c>
      <c r="M34" s="10" t="str">
        <f t="shared" si="12"/>
        <v/>
      </c>
      <c r="N34" s="10">
        <f t="shared" si="9"/>
        <v>1</v>
      </c>
      <c r="O34" s="11">
        <f t="shared" ca="1" si="1"/>
        <v>0</v>
      </c>
      <c r="P34" s="11">
        <f t="shared" ca="1" si="2"/>
        <v>0</v>
      </c>
      <c r="Q34" s="355">
        <f t="shared" si="3"/>
        <v>0</v>
      </c>
      <c r="R34" s="10">
        <f t="shared" si="10"/>
        <v>1</v>
      </c>
      <c r="S34" s="256" t="str" cm="1">
        <f t="array" ref="S34">IF($F34&lt;R$1,"",INDEX('4044 Yield Curves'!$C$7:$C$66,MIN(60,2*($F34-R$1+0.5)),0))</f>
        <v/>
      </c>
      <c r="T34" s="10" t="str">
        <f t="shared" si="13"/>
        <v/>
      </c>
      <c r="U34" s="10">
        <f t="shared" si="14"/>
        <v>1</v>
      </c>
      <c r="V34" s="11">
        <f t="shared" ca="1" si="4"/>
        <v>0</v>
      </c>
      <c r="W34" s="11">
        <f t="shared" ca="1" si="5"/>
        <v>0</v>
      </c>
      <c r="X34" s="355">
        <f t="shared" si="11"/>
        <v>0</v>
      </c>
      <c r="Z34" s="284"/>
      <c r="AA34" s="285"/>
      <c r="AB34" s="338"/>
      <c r="AC34" s="339"/>
      <c r="AD34" s="279"/>
      <c r="AE34" s="287"/>
      <c r="AF34" s="287"/>
      <c r="AG34" s="14"/>
      <c r="AH34" s="14"/>
      <c r="AI34" s="289"/>
      <c r="AJ34" s="289"/>
      <c r="AK34" s="289"/>
      <c r="AL34" s="290"/>
    </row>
    <row r="35" spans="1:38" ht="13" x14ac:dyDescent="0.3">
      <c r="A35"/>
      <c r="B35" s="268"/>
      <c r="C35" s="268"/>
      <c r="D35" s="268"/>
      <c r="E35" s="322"/>
      <c r="F35" s="8">
        <f t="shared" si="6"/>
        <v>28</v>
      </c>
      <c r="G35" s="335">
        <f>'4050 Mortality'!C33</f>
        <v>2.2000000000000001E-4</v>
      </c>
      <c r="H35" s="10">
        <f t="shared" si="7"/>
        <v>0.99978</v>
      </c>
      <c r="I35" s="243">
        <f t="shared" si="0"/>
        <v>0.99990832745070579</v>
      </c>
      <c r="J35" s="328"/>
      <c r="K35" s="10">
        <f t="shared" si="8"/>
        <v>1</v>
      </c>
      <c r="L35" s="256" t="str" cm="1">
        <f t="array" ref="L35">IF($F35&lt;K$1,"",INDEX('4044 Yield Curves'!$C$7:$C$66,MIN(60,2*($F35-K$1+0.5)),0))</f>
        <v/>
      </c>
      <c r="M35" s="10" t="str">
        <f t="shared" si="12"/>
        <v/>
      </c>
      <c r="N35" s="10">
        <f t="shared" si="9"/>
        <v>1</v>
      </c>
      <c r="O35" s="11">
        <f t="shared" ca="1" si="1"/>
        <v>0</v>
      </c>
      <c r="P35" s="11">
        <f t="shared" ca="1" si="2"/>
        <v>0</v>
      </c>
      <c r="Q35" s="355">
        <f t="shared" si="3"/>
        <v>0</v>
      </c>
      <c r="R35" s="10">
        <f t="shared" si="10"/>
        <v>1</v>
      </c>
      <c r="S35" s="256" t="str" cm="1">
        <f t="array" ref="S35">IF($F35&lt;R$1,"",INDEX('4044 Yield Curves'!$C$7:$C$66,MIN(60,2*($F35-R$1+0.5)),0))</f>
        <v/>
      </c>
      <c r="T35" s="10" t="str">
        <f t="shared" si="13"/>
        <v/>
      </c>
      <c r="U35" s="10">
        <f t="shared" si="14"/>
        <v>1</v>
      </c>
      <c r="V35" s="11">
        <f t="shared" ca="1" si="4"/>
        <v>0</v>
      </c>
      <c r="W35" s="11">
        <f t="shared" ca="1" si="5"/>
        <v>0</v>
      </c>
      <c r="X35" s="355">
        <f t="shared" si="11"/>
        <v>0</v>
      </c>
      <c r="Z35" s="284"/>
      <c r="AA35" s="285"/>
      <c r="AB35" s="338"/>
      <c r="AC35" s="339"/>
      <c r="AD35" s="279"/>
      <c r="AE35" s="287"/>
      <c r="AF35" s="287"/>
      <c r="AG35" s="14"/>
      <c r="AH35" s="14"/>
      <c r="AI35" s="289"/>
      <c r="AJ35" s="289"/>
      <c r="AK35" s="289"/>
      <c r="AL35" s="290"/>
    </row>
    <row r="36" spans="1:38" ht="13" x14ac:dyDescent="0.3">
      <c r="A36"/>
      <c r="B36" s="268"/>
      <c r="C36" s="268"/>
      <c r="D36" s="268"/>
      <c r="E36" s="322"/>
      <c r="F36" s="8">
        <f t="shared" si="6"/>
        <v>29</v>
      </c>
      <c r="G36" s="335">
        <f>'4050 Mortality'!C34</f>
        <v>2.3000000000000001E-4</v>
      </c>
      <c r="H36" s="10">
        <f t="shared" si="7"/>
        <v>0.99977000000000005</v>
      </c>
      <c r="I36" s="243">
        <f t="shared" si="0"/>
        <v>0.99990416023706674</v>
      </c>
      <c r="J36" s="328"/>
      <c r="K36" s="10">
        <f t="shared" si="8"/>
        <v>1</v>
      </c>
      <c r="L36" s="256" t="str" cm="1">
        <f t="array" ref="L36">IF($F36&lt;K$1,"",INDEX('4044 Yield Curves'!$C$7:$C$66,MIN(60,2*($F36-K$1+0.5)),0))</f>
        <v/>
      </c>
      <c r="M36" s="10" t="str">
        <f t="shared" si="12"/>
        <v/>
      </c>
      <c r="N36" s="10">
        <f t="shared" si="9"/>
        <v>1</v>
      </c>
      <c r="O36" s="11">
        <f t="shared" ca="1" si="1"/>
        <v>0</v>
      </c>
      <c r="P36" s="11">
        <f t="shared" ca="1" si="2"/>
        <v>0</v>
      </c>
      <c r="Q36" s="355">
        <f t="shared" si="3"/>
        <v>0</v>
      </c>
      <c r="R36" s="10">
        <f t="shared" si="10"/>
        <v>1</v>
      </c>
      <c r="S36" s="256" t="str" cm="1">
        <f t="array" ref="S36">IF($F36&lt;R$1,"",INDEX('4044 Yield Curves'!$C$7:$C$66,MIN(60,2*($F36-R$1+0.5)),0))</f>
        <v/>
      </c>
      <c r="T36" s="10" t="str">
        <f t="shared" si="13"/>
        <v/>
      </c>
      <c r="U36" s="10">
        <f t="shared" si="14"/>
        <v>1</v>
      </c>
      <c r="V36" s="11">
        <f t="shared" ca="1" si="4"/>
        <v>0</v>
      </c>
      <c r="W36" s="11">
        <f t="shared" ca="1" si="5"/>
        <v>0</v>
      </c>
      <c r="X36" s="355">
        <f t="shared" si="11"/>
        <v>0</v>
      </c>
      <c r="Z36" s="284"/>
      <c r="AA36" s="285"/>
      <c r="AB36" s="338"/>
      <c r="AC36" s="339"/>
      <c r="AD36" s="279"/>
      <c r="AE36" s="287"/>
      <c r="AF36" s="287"/>
      <c r="AG36" s="14"/>
      <c r="AH36" s="14"/>
      <c r="AI36" s="289"/>
      <c r="AJ36" s="289"/>
      <c r="AK36" s="289"/>
      <c r="AL36" s="290"/>
    </row>
    <row r="37" spans="1:38" ht="13" x14ac:dyDescent="0.3">
      <c r="A37"/>
      <c r="B37"/>
      <c r="C37"/>
      <c r="D37"/>
      <c r="E37" s="322"/>
      <c r="F37" s="8">
        <f t="shared" si="6"/>
        <v>30</v>
      </c>
      <c r="G37" s="335">
        <f>'4050 Mortality'!C35</f>
        <v>2.4000000000000001E-4</v>
      </c>
      <c r="H37" s="10">
        <f t="shared" si="7"/>
        <v>0.99975999999999998</v>
      </c>
      <c r="I37" s="243">
        <f t="shared" si="0"/>
        <v>0.99989999299911314</v>
      </c>
      <c r="J37" s="328"/>
      <c r="K37" s="10">
        <f t="shared" si="8"/>
        <v>1</v>
      </c>
      <c r="L37" s="256" t="str" cm="1">
        <f t="array" ref="L37">IF($F37&lt;K$1,"",INDEX('4044 Yield Curves'!$C$7:$C$66,MIN(60,2*($F37-K$1+0.5)),0))</f>
        <v/>
      </c>
      <c r="M37" s="10" t="str">
        <f t="shared" si="12"/>
        <v/>
      </c>
      <c r="N37" s="10">
        <f t="shared" si="9"/>
        <v>1</v>
      </c>
      <c r="O37" s="11">
        <f t="shared" ca="1" si="1"/>
        <v>0</v>
      </c>
      <c r="P37" s="11">
        <f t="shared" ca="1" si="2"/>
        <v>0</v>
      </c>
      <c r="Q37" s="355">
        <f t="shared" si="3"/>
        <v>0</v>
      </c>
      <c r="R37" s="10">
        <f t="shared" si="10"/>
        <v>1</v>
      </c>
      <c r="S37" s="256" t="str" cm="1">
        <f t="array" ref="S37">IF($F37&lt;R$1,"",INDEX('4044 Yield Curves'!$C$7:$C$66,MIN(60,2*($F37-R$1+0.5)),0))</f>
        <v/>
      </c>
      <c r="T37" s="10" t="str">
        <f t="shared" si="13"/>
        <v/>
      </c>
      <c r="U37" s="10">
        <f t="shared" si="14"/>
        <v>1</v>
      </c>
      <c r="V37" s="11">
        <f t="shared" ca="1" si="4"/>
        <v>0</v>
      </c>
      <c r="W37" s="11">
        <f t="shared" ca="1" si="5"/>
        <v>0</v>
      </c>
      <c r="X37" s="355">
        <f t="shared" si="11"/>
        <v>0</v>
      </c>
      <c r="Z37" s="284"/>
      <c r="AA37" s="285"/>
      <c r="AB37" s="338"/>
      <c r="AC37" s="339"/>
      <c r="AD37" s="279"/>
      <c r="AE37" s="287"/>
      <c r="AF37" s="287"/>
      <c r="AG37" s="14"/>
      <c r="AH37" s="14"/>
      <c r="AI37" s="289"/>
      <c r="AJ37" s="289"/>
      <c r="AK37" s="289"/>
      <c r="AL37" s="290"/>
    </row>
    <row r="38" spans="1:38" ht="13" x14ac:dyDescent="0.3">
      <c r="A38"/>
      <c r="B38"/>
      <c r="C38" s="268"/>
      <c r="D38"/>
      <c r="E38" s="322"/>
      <c r="F38" s="8">
        <f t="shared" si="6"/>
        <v>31</v>
      </c>
      <c r="G38" s="335">
        <f>'4050 Mortality'!C36</f>
        <v>2.5999999999999998E-4</v>
      </c>
      <c r="H38" s="10">
        <f t="shared" si="7"/>
        <v>0.99973999999999996</v>
      </c>
      <c r="I38" s="243">
        <f t="shared" si="0"/>
        <v>0.9998916584502614</v>
      </c>
      <c r="J38" s="328"/>
      <c r="K38" s="10">
        <f t="shared" si="8"/>
        <v>1</v>
      </c>
      <c r="L38" s="256" t="str" cm="1">
        <f t="array" ref="L38">IF($F38&lt;K$1,"",INDEX('4044 Yield Curves'!$C$7:$C$66,MIN(60,2*($F38-K$1+0.5)),0))</f>
        <v/>
      </c>
      <c r="M38" s="10" t="str">
        <f t="shared" si="12"/>
        <v/>
      </c>
      <c r="N38" s="10">
        <f t="shared" si="9"/>
        <v>1</v>
      </c>
      <c r="O38" s="11">
        <f t="shared" ca="1" si="1"/>
        <v>0</v>
      </c>
      <c r="P38" s="11">
        <f t="shared" ca="1" si="2"/>
        <v>0</v>
      </c>
      <c r="Q38" s="355">
        <f t="shared" si="3"/>
        <v>0</v>
      </c>
      <c r="R38" s="10">
        <f t="shared" si="10"/>
        <v>1</v>
      </c>
      <c r="S38" s="256" t="str" cm="1">
        <f t="array" ref="S38">IF($F38&lt;R$1,"",INDEX('4044 Yield Curves'!$C$7:$C$66,MIN(60,2*($F38-R$1+0.5)),0))</f>
        <v/>
      </c>
      <c r="T38" s="10" t="str">
        <f t="shared" si="13"/>
        <v/>
      </c>
      <c r="U38" s="10">
        <f t="shared" si="14"/>
        <v>1</v>
      </c>
      <c r="V38" s="11">
        <f t="shared" ca="1" si="4"/>
        <v>0</v>
      </c>
      <c r="W38" s="11">
        <f t="shared" ca="1" si="5"/>
        <v>0</v>
      </c>
      <c r="X38" s="355">
        <f t="shared" si="11"/>
        <v>0</v>
      </c>
      <c r="Z38" s="284"/>
      <c r="AA38" s="285"/>
      <c r="AB38" s="338"/>
      <c r="AC38" s="339"/>
      <c r="AD38" s="279"/>
      <c r="AE38" s="287"/>
      <c r="AF38" s="287"/>
      <c r="AG38" s="14"/>
      <c r="AH38" s="14"/>
      <c r="AK38" s="289"/>
      <c r="AL38" s="290"/>
    </row>
    <row r="39" spans="1:38" ht="13" x14ac:dyDescent="0.3">
      <c r="A39"/>
      <c r="B39"/>
      <c r="C39" s="268"/>
      <c r="D39"/>
      <c r="E39" s="322"/>
      <c r="F39" s="8">
        <f t="shared" si="6"/>
        <v>32</v>
      </c>
      <c r="G39" s="335">
        <f>'4050 Mortality'!C37</f>
        <v>2.7E-4</v>
      </c>
      <c r="H39" s="10">
        <f t="shared" si="7"/>
        <v>0.99973000000000001</v>
      </c>
      <c r="I39" s="243">
        <f t="shared" ref="I39:I70" si="15">H39^(5/12)</f>
        <v>0.99988749113936237</v>
      </c>
      <c r="J39" s="328"/>
      <c r="K39" s="10">
        <f t="shared" si="8"/>
        <v>1</v>
      </c>
      <c r="L39" s="256" t="str" cm="1">
        <f t="array" ref="L39">IF($F39&lt;K$1,"",INDEX('4044 Yield Curves'!$C$7:$C$66,MIN(60,2*($F39-K$1+0.5)),0))</f>
        <v/>
      </c>
      <c r="M39" s="10" t="str">
        <f t="shared" si="12"/>
        <v/>
      </c>
      <c r="N39" s="10">
        <f t="shared" si="9"/>
        <v>1</v>
      </c>
      <c r="O39" s="11">
        <f t="shared" ca="1" si="1"/>
        <v>0</v>
      </c>
      <c r="P39" s="11">
        <f t="shared" ca="1" si="2"/>
        <v>0</v>
      </c>
      <c r="Q39" s="355">
        <f t="shared" ref="Q39:Q70" si="16">MAX(0, $F39-$K$1)</f>
        <v>0</v>
      </c>
      <c r="R39" s="10">
        <f t="shared" si="10"/>
        <v>1</v>
      </c>
      <c r="S39" s="256" t="str" cm="1">
        <f t="array" ref="S39">IF($F39&lt;R$1,"",INDEX('4044 Yield Curves'!$C$7:$C$66,MIN(60,2*($F39-R$1+0.5)),0))</f>
        <v/>
      </c>
      <c r="T39" s="10" t="str">
        <f t="shared" si="13"/>
        <v/>
      </c>
      <c r="U39" s="10">
        <f t="shared" si="14"/>
        <v>1</v>
      </c>
      <c r="V39" s="11">
        <f t="shared" ref="V39:V70" ca="1" si="17">IF($F39&gt;=$V$5,1,0)</f>
        <v>0</v>
      </c>
      <c r="W39" s="11">
        <f t="shared" ref="W39:W70" ca="1" si="18">IF($F39&gt;=$W$6,1,0)</f>
        <v>0</v>
      </c>
      <c r="X39" s="355">
        <f t="shared" si="11"/>
        <v>0</v>
      </c>
      <c r="Z39" s="284"/>
      <c r="AA39" s="285"/>
      <c r="AB39" s="338"/>
      <c r="AC39" s="339"/>
      <c r="AD39" s="279"/>
      <c r="AE39" s="287"/>
      <c r="AF39" s="287"/>
      <c r="AG39" s="14"/>
      <c r="AH39" s="14"/>
    </row>
    <row r="40" spans="1:38" ht="13" x14ac:dyDescent="0.3">
      <c r="A40"/>
      <c r="B40"/>
      <c r="C40" s="268"/>
      <c r="D40"/>
      <c r="E40" s="322"/>
      <c r="F40" s="8">
        <f t="shared" si="6"/>
        <v>33</v>
      </c>
      <c r="G40" s="335">
        <f>'4050 Mortality'!C38</f>
        <v>2.9999999999999997E-4</v>
      </c>
      <c r="H40" s="10">
        <f t="shared" si="7"/>
        <v>0.99970000000000003</v>
      </c>
      <c r="I40" s="243">
        <f t="shared" si="15"/>
        <v>0.99987498906076788</v>
      </c>
      <c r="J40" s="328"/>
      <c r="K40" s="10">
        <f t="shared" ref="K40:K71" si="19">IF($F39&lt;$A$9,1,K39*$H39)</f>
        <v>1</v>
      </c>
      <c r="L40" s="256" t="str" cm="1">
        <f t="array" ref="L40">IF($F40&lt;K$1,"",INDEX('4044 Yield Curves'!$C$7:$C$66,MIN(60,2*($F40-K$1+0.5)),0))</f>
        <v/>
      </c>
      <c r="M40" s="10" t="str">
        <f t="shared" si="12"/>
        <v/>
      </c>
      <c r="N40" s="10">
        <f t="shared" ref="N40:N71" si="20">IF($F40&lt;K$1,1,(1+L40)^M40)</f>
        <v>1</v>
      </c>
      <c r="O40" s="11">
        <f t="shared" ca="1" si="1"/>
        <v>0</v>
      </c>
      <c r="P40" s="11">
        <f t="shared" ca="1" si="2"/>
        <v>0</v>
      </c>
      <c r="Q40" s="355">
        <f t="shared" si="16"/>
        <v>0</v>
      </c>
      <c r="R40" s="10">
        <f t="shared" ref="R40:R71" si="21">IF($F39&lt;$A$11,1,R39*$H39)</f>
        <v>1</v>
      </c>
      <c r="S40" s="256" t="str" cm="1">
        <f t="array" ref="S40">IF($F40&lt;R$1,"",INDEX('4044 Yield Curves'!$C$7:$C$66,MIN(60,2*($F40-R$1+0.5)),0))</f>
        <v/>
      </c>
      <c r="T40" s="10" t="str">
        <f t="shared" si="13"/>
        <v/>
      </c>
      <c r="U40" s="10">
        <f t="shared" si="14"/>
        <v>1</v>
      </c>
      <c r="V40" s="11">
        <f t="shared" ca="1" si="17"/>
        <v>0</v>
      </c>
      <c r="W40" s="11">
        <f t="shared" ca="1" si="18"/>
        <v>0</v>
      </c>
      <c r="X40" s="355">
        <f t="shared" si="11"/>
        <v>0</v>
      </c>
      <c r="Z40" s="284"/>
      <c r="AA40" s="285"/>
      <c r="AB40" s="338"/>
      <c r="AC40" s="339"/>
      <c r="AD40" s="279"/>
      <c r="AE40" s="287"/>
      <c r="AF40" s="287"/>
      <c r="AG40" s="14"/>
      <c r="AH40" s="14"/>
    </row>
    <row r="41" spans="1:38" ht="13" x14ac:dyDescent="0.3">
      <c r="A41"/>
      <c r="B41"/>
      <c r="C41"/>
      <c r="D41"/>
      <c r="E41" s="322"/>
      <c r="F41" s="8">
        <f t="shared" si="6"/>
        <v>34</v>
      </c>
      <c r="G41" s="335">
        <f>'4050 Mortality'!C39</f>
        <v>3.1E-4</v>
      </c>
      <c r="H41" s="10">
        <f t="shared" si="7"/>
        <v>0.99968999999999997</v>
      </c>
      <c r="I41" s="243">
        <f t="shared" si="15"/>
        <v>0.99987082165260266</v>
      </c>
      <c r="J41" s="328"/>
      <c r="K41" s="10">
        <f t="shared" si="19"/>
        <v>1</v>
      </c>
      <c r="L41" s="256" t="str" cm="1">
        <f t="array" ref="L41">IF($F41&lt;K$1,"",INDEX('4044 Yield Curves'!$C$7:$C$66,MIN(60,2*($F41-K$1+0.5)),0))</f>
        <v/>
      </c>
      <c r="M41" s="10" t="str">
        <f t="shared" si="12"/>
        <v/>
      </c>
      <c r="N41" s="10">
        <f t="shared" si="20"/>
        <v>1</v>
      </c>
      <c r="O41" s="11">
        <f t="shared" ca="1" si="1"/>
        <v>0</v>
      </c>
      <c r="P41" s="11">
        <f t="shared" ca="1" si="2"/>
        <v>0</v>
      </c>
      <c r="Q41" s="355">
        <f t="shared" si="16"/>
        <v>0</v>
      </c>
      <c r="R41" s="10">
        <f t="shared" si="21"/>
        <v>1</v>
      </c>
      <c r="S41" s="256" t="str" cm="1">
        <f t="array" ref="S41">IF($F41&lt;R$1,"",INDEX('4044 Yield Curves'!$C$7:$C$66,MIN(60,2*($F41-R$1+0.5)),0))</f>
        <v/>
      </c>
      <c r="T41" s="10" t="str">
        <f t="shared" si="13"/>
        <v/>
      </c>
      <c r="U41" s="10">
        <f t="shared" si="14"/>
        <v>1</v>
      </c>
      <c r="V41" s="11">
        <f t="shared" ca="1" si="17"/>
        <v>0</v>
      </c>
      <c r="W41" s="11">
        <f t="shared" ca="1" si="18"/>
        <v>0</v>
      </c>
      <c r="X41" s="355">
        <f t="shared" si="11"/>
        <v>0</v>
      </c>
      <c r="Z41" s="284"/>
      <c r="AA41" s="285"/>
      <c r="AB41" s="338"/>
      <c r="AC41" s="339"/>
      <c r="AD41" s="279"/>
      <c r="AE41" s="287"/>
      <c r="AF41" s="287"/>
    </row>
    <row r="42" spans="1:38" ht="13" x14ac:dyDescent="0.3">
      <c r="A42"/>
      <c r="B42"/>
      <c r="C42"/>
      <c r="D42"/>
      <c r="E42" s="322"/>
      <c r="F42" s="8">
        <f t="shared" si="6"/>
        <v>35</v>
      </c>
      <c r="G42" s="335">
        <f>'4050 Mortality'!C40</f>
        <v>3.3E-4</v>
      </c>
      <c r="H42" s="10">
        <f t="shared" si="7"/>
        <v>0.99966999999999995</v>
      </c>
      <c r="I42" s="243">
        <f t="shared" si="15"/>
        <v>0.99986248676331946</v>
      </c>
      <c r="J42" s="328"/>
      <c r="K42" s="10">
        <f t="shared" si="19"/>
        <v>1</v>
      </c>
      <c r="L42" s="256" t="str" cm="1">
        <f t="array" ref="L42">IF($F42&lt;K$1,"",INDEX('4044 Yield Curves'!$C$7:$C$66,MIN(60,2*($F42-K$1+0.5)),0))</f>
        <v/>
      </c>
      <c r="M42" s="10" t="str">
        <f t="shared" si="12"/>
        <v/>
      </c>
      <c r="N42" s="10">
        <f t="shared" si="20"/>
        <v>1</v>
      </c>
      <c r="O42" s="11">
        <f t="shared" ca="1" si="1"/>
        <v>0</v>
      </c>
      <c r="P42" s="11">
        <f t="shared" ca="1" si="2"/>
        <v>0</v>
      </c>
      <c r="Q42" s="355">
        <f t="shared" si="16"/>
        <v>0</v>
      </c>
      <c r="R42" s="10">
        <f t="shared" si="21"/>
        <v>1</v>
      </c>
      <c r="S42" s="256" t="str" cm="1">
        <f t="array" ref="S42">IF($F42&lt;R$1,"",INDEX('4044 Yield Curves'!$C$7:$C$66,MIN(60,2*($F42-R$1+0.5)),0))</f>
        <v/>
      </c>
      <c r="T42" s="10" t="str">
        <f t="shared" si="13"/>
        <v/>
      </c>
      <c r="U42" s="10">
        <f t="shared" si="14"/>
        <v>1</v>
      </c>
      <c r="V42" s="11">
        <f t="shared" ca="1" si="17"/>
        <v>0</v>
      </c>
      <c r="W42" s="11">
        <f t="shared" ca="1" si="18"/>
        <v>0</v>
      </c>
      <c r="X42" s="355">
        <f t="shared" si="11"/>
        <v>0</v>
      </c>
      <c r="Z42" s="284"/>
      <c r="AA42" s="285"/>
      <c r="AB42" s="338"/>
      <c r="AC42" s="339"/>
      <c r="AD42" s="279"/>
      <c r="AE42" s="287"/>
      <c r="AF42" s="287"/>
    </row>
    <row r="43" spans="1:38" ht="13" x14ac:dyDescent="0.3">
      <c r="A43"/>
      <c r="B43"/>
      <c r="C43"/>
      <c r="D43"/>
      <c r="E43" s="322"/>
      <c r="F43" s="8">
        <f t="shared" si="6"/>
        <v>36</v>
      </c>
      <c r="G43" s="335">
        <f>'4050 Mortality'!C41</f>
        <v>3.5E-4</v>
      </c>
      <c r="H43" s="10">
        <f t="shared" si="7"/>
        <v>0.99965000000000004</v>
      </c>
      <c r="I43" s="243">
        <f t="shared" si="15"/>
        <v>0.99985415177676329</v>
      </c>
      <c r="J43" s="328"/>
      <c r="K43" s="10">
        <f t="shared" si="19"/>
        <v>1</v>
      </c>
      <c r="L43" s="256" t="str" cm="1">
        <f t="array" ref="L43">IF($F43&lt;K$1,"",INDEX('4044 Yield Curves'!$C$7:$C$66,MIN(60,2*($F43-K$1+0.5)),0))</f>
        <v/>
      </c>
      <c r="M43" s="10" t="str">
        <f t="shared" si="12"/>
        <v/>
      </c>
      <c r="N43" s="10">
        <f t="shared" si="20"/>
        <v>1</v>
      </c>
      <c r="O43" s="11">
        <f t="shared" ca="1" si="1"/>
        <v>0</v>
      </c>
      <c r="P43" s="11">
        <f t="shared" ca="1" si="2"/>
        <v>0</v>
      </c>
      <c r="Q43" s="355">
        <f t="shared" si="16"/>
        <v>0</v>
      </c>
      <c r="R43" s="10">
        <f t="shared" si="21"/>
        <v>1</v>
      </c>
      <c r="S43" s="256" t="str" cm="1">
        <f t="array" ref="S43">IF($F43&lt;R$1,"",INDEX('4044 Yield Curves'!$C$7:$C$66,MIN(60,2*($F43-R$1+0.5)),0))</f>
        <v/>
      </c>
      <c r="T43" s="10" t="str">
        <f t="shared" si="13"/>
        <v/>
      </c>
      <c r="U43" s="10">
        <f t="shared" si="14"/>
        <v>1</v>
      </c>
      <c r="V43" s="11">
        <f t="shared" ca="1" si="17"/>
        <v>0</v>
      </c>
      <c r="W43" s="11">
        <f t="shared" ca="1" si="18"/>
        <v>0</v>
      </c>
      <c r="X43" s="355">
        <f t="shared" si="11"/>
        <v>0</v>
      </c>
      <c r="Z43" s="284"/>
      <c r="AA43" s="285"/>
      <c r="AB43" s="338"/>
      <c r="AC43" s="339"/>
      <c r="AD43" s="279"/>
      <c r="AE43" s="287"/>
      <c r="AF43" s="287"/>
    </row>
    <row r="44" spans="1:38" ht="13" x14ac:dyDescent="0.3">
      <c r="A44"/>
      <c r="B44"/>
      <c r="C44"/>
      <c r="D44"/>
      <c r="E44" s="322"/>
      <c r="F44" s="8">
        <f t="shared" si="6"/>
        <v>37</v>
      </c>
      <c r="G44" s="335">
        <f>'4050 Mortality'!C42</f>
        <v>3.6999999999999999E-4</v>
      </c>
      <c r="H44" s="10">
        <f t="shared" si="7"/>
        <v>0.99963000000000002</v>
      </c>
      <c r="I44" s="243">
        <f t="shared" si="15"/>
        <v>0.99984581669293093</v>
      </c>
      <c r="J44" s="328"/>
      <c r="K44" s="10">
        <f t="shared" si="19"/>
        <v>1</v>
      </c>
      <c r="L44" s="256" t="str" cm="1">
        <f t="array" ref="L44">IF($F44&lt;K$1,"",INDEX('4044 Yield Curves'!$C$7:$C$66,MIN(60,2*($F44-K$1+0.5)),0))</f>
        <v/>
      </c>
      <c r="M44" s="10" t="str">
        <f t="shared" si="12"/>
        <v/>
      </c>
      <c r="N44" s="10">
        <f t="shared" si="20"/>
        <v>1</v>
      </c>
      <c r="O44" s="11">
        <f t="shared" ca="1" si="1"/>
        <v>0</v>
      </c>
      <c r="P44" s="11">
        <f t="shared" ca="1" si="2"/>
        <v>0</v>
      </c>
      <c r="Q44" s="355">
        <f t="shared" si="16"/>
        <v>0</v>
      </c>
      <c r="R44" s="10">
        <f t="shared" si="21"/>
        <v>1</v>
      </c>
      <c r="S44" s="256" t="str" cm="1">
        <f t="array" ref="S44">IF($F44&lt;R$1,"",INDEX('4044 Yield Curves'!$C$7:$C$66,MIN(60,2*($F44-R$1+0.5)),0))</f>
        <v/>
      </c>
      <c r="T44" s="10" t="str">
        <f t="shared" si="13"/>
        <v/>
      </c>
      <c r="U44" s="10">
        <f t="shared" si="14"/>
        <v>1</v>
      </c>
      <c r="V44" s="11">
        <f t="shared" ca="1" si="17"/>
        <v>0</v>
      </c>
      <c r="W44" s="11">
        <f t="shared" ca="1" si="18"/>
        <v>0</v>
      </c>
      <c r="X44" s="355">
        <f t="shared" si="11"/>
        <v>0</v>
      </c>
      <c r="Z44" s="284"/>
      <c r="AA44" s="285"/>
      <c r="AB44" s="338"/>
      <c r="AC44" s="339"/>
      <c r="AD44" s="279"/>
      <c r="AE44" s="287"/>
      <c r="AF44" s="287"/>
    </row>
    <row r="45" spans="1:38" ht="13" x14ac:dyDescent="0.3">
      <c r="A45"/>
      <c r="B45"/>
      <c r="C45"/>
      <c r="D45"/>
      <c r="E45" s="322"/>
      <c r="F45" s="8">
        <f t="shared" si="6"/>
        <v>38</v>
      </c>
      <c r="G45" s="335">
        <f>'4050 Mortality'!C43</f>
        <v>3.8999999999999999E-4</v>
      </c>
      <c r="H45" s="10">
        <f t="shared" si="7"/>
        <v>0.99961</v>
      </c>
      <c r="I45" s="243">
        <f t="shared" si="15"/>
        <v>0.99983748151181939</v>
      </c>
      <c r="J45" s="328"/>
      <c r="K45" s="10">
        <f t="shared" si="19"/>
        <v>1</v>
      </c>
      <c r="L45" s="256" t="str" cm="1">
        <f t="array" ref="L45">IF($F45&lt;K$1,"",INDEX('4044 Yield Curves'!$C$7:$C$66,MIN(60,2*($F45-K$1+0.5)),0))</f>
        <v/>
      </c>
      <c r="M45" s="10" t="str">
        <f t="shared" si="12"/>
        <v/>
      </c>
      <c r="N45" s="10">
        <f t="shared" si="20"/>
        <v>1</v>
      </c>
      <c r="O45" s="11">
        <f t="shared" ca="1" si="1"/>
        <v>0</v>
      </c>
      <c r="P45" s="11">
        <f t="shared" ca="1" si="2"/>
        <v>0</v>
      </c>
      <c r="Q45" s="355">
        <f t="shared" si="16"/>
        <v>0</v>
      </c>
      <c r="R45" s="10">
        <f t="shared" si="21"/>
        <v>1</v>
      </c>
      <c r="S45" s="256" t="str" cm="1">
        <f t="array" ref="S45">IF($F45&lt;R$1,"",INDEX('4044 Yield Curves'!$C$7:$C$66,MIN(60,2*($F45-R$1+0.5)),0))</f>
        <v/>
      </c>
      <c r="T45" s="10" t="str">
        <f t="shared" si="13"/>
        <v/>
      </c>
      <c r="U45" s="10">
        <f t="shared" si="14"/>
        <v>1</v>
      </c>
      <c r="V45" s="11">
        <f t="shared" ca="1" si="17"/>
        <v>0</v>
      </c>
      <c r="W45" s="11">
        <f t="shared" ca="1" si="18"/>
        <v>0</v>
      </c>
      <c r="X45" s="355">
        <f t="shared" si="11"/>
        <v>0</v>
      </c>
      <c r="Z45" s="284"/>
      <c r="AA45" s="285"/>
      <c r="AB45" s="338"/>
      <c r="AC45" s="339"/>
      <c r="AD45" s="279"/>
      <c r="AE45" s="287"/>
      <c r="AF45" s="287"/>
    </row>
    <row r="46" spans="1:38" ht="13" x14ac:dyDescent="0.3">
      <c r="A46"/>
      <c r="B46"/>
      <c r="C46"/>
      <c r="D46"/>
      <c r="E46" s="322"/>
      <c r="F46" s="8">
        <f t="shared" si="6"/>
        <v>39</v>
      </c>
      <c r="G46" s="335">
        <f>'4050 Mortality'!C44</f>
        <v>4.0999999999999999E-4</v>
      </c>
      <c r="H46" s="10">
        <f t="shared" si="7"/>
        <v>0.99958999999999998</v>
      </c>
      <c r="I46" s="243">
        <f t="shared" si="15"/>
        <v>0.99982914623342545</v>
      </c>
      <c r="J46" s="328"/>
      <c r="K46" s="10">
        <f t="shared" si="19"/>
        <v>1</v>
      </c>
      <c r="L46" s="256" t="str" cm="1">
        <f t="array" ref="L46">IF($F46&lt;K$1,"",INDEX('4044 Yield Curves'!$C$7:$C$66,MIN(60,2*($F46-K$1+0.5)),0))</f>
        <v/>
      </c>
      <c r="M46" s="10" t="str">
        <f t="shared" si="12"/>
        <v/>
      </c>
      <c r="N46" s="10">
        <f t="shared" si="20"/>
        <v>1</v>
      </c>
      <c r="O46" s="11">
        <f t="shared" ca="1" si="1"/>
        <v>0</v>
      </c>
      <c r="P46" s="11">
        <f t="shared" ca="1" si="2"/>
        <v>0</v>
      </c>
      <c r="Q46" s="355">
        <f t="shared" si="16"/>
        <v>0</v>
      </c>
      <c r="R46" s="10">
        <f t="shared" si="21"/>
        <v>1</v>
      </c>
      <c r="S46" s="256" t="str" cm="1">
        <f t="array" ref="S46">IF($F46&lt;R$1,"",INDEX('4044 Yield Curves'!$C$7:$C$66,MIN(60,2*($F46-R$1+0.5)),0))</f>
        <v/>
      </c>
      <c r="T46" s="10" t="str">
        <f t="shared" si="13"/>
        <v/>
      </c>
      <c r="U46" s="10">
        <f t="shared" si="14"/>
        <v>1</v>
      </c>
      <c r="V46" s="11">
        <f t="shared" ca="1" si="17"/>
        <v>0</v>
      </c>
      <c r="W46" s="11">
        <f t="shared" ca="1" si="18"/>
        <v>0</v>
      </c>
      <c r="X46" s="355">
        <f t="shared" si="11"/>
        <v>0</v>
      </c>
      <c r="Z46" s="284"/>
      <c r="AA46" s="285"/>
      <c r="AB46" s="338"/>
      <c r="AC46" s="339"/>
      <c r="AD46" s="279"/>
      <c r="AE46" s="287"/>
      <c r="AF46" s="287"/>
    </row>
    <row r="47" spans="1:38" ht="13" x14ac:dyDescent="0.3">
      <c r="A47"/>
      <c r="B47"/>
      <c r="C47"/>
      <c r="D47"/>
      <c r="E47" s="322"/>
      <c r="F47" s="8">
        <f t="shared" si="6"/>
        <v>40</v>
      </c>
      <c r="G47" s="335">
        <f>'4050 Mortality'!C45</f>
        <v>4.2999999999999999E-4</v>
      </c>
      <c r="H47" s="10">
        <f t="shared" si="7"/>
        <v>0.99956999999999996</v>
      </c>
      <c r="I47" s="243">
        <f t="shared" si="15"/>
        <v>0.99982081085774621</v>
      </c>
      <c r="J47" s="328"/>
      <c r="K47" s="10">
        <f t="shared" si="19"/>
        <v>1</v>
      </c>
      <c r="L47" s="256" t="str" cm="1">
        <f t="array" ref="L47">IF($F47&lt;K$1,"",INDEX('4044 Yield Curves'!$C$7:$C$66,MIN(60,2*($F47-K$1+0.5)),0))</f>
        <v/>
      </c>
      <c r="M47" s="10" t="str">
        <f t="shared" si="12"/>
        <v/>
      </c>
      <c r="N47" s="10">
        <f t="shared" si="20"/>
        <v>1</v>
      </c>
      <c r="O47" s="11">
        <f t="shared" ca="1" si="1"/>
        <v>0</v>
      </c>
      <c r="P47" s="11">
        <f t="shared" ca="1" si="2"/>
        <v>0</v>
      </c>
      <c r="Q47" s="355">
        <f t="shared" si="16"/>
        <v>0</v>
      </c>
      <c r="R47" s="10">
        <f t="shared" si="21"/>
        <v>1</v>
      </c>
      <c r="S47" s="256" t="str" cm="1">
        <f t="array" ref="S47">IF($F47&lt;R$1,"",INDEX('4044 Yield Curves'!$C$7:$C$66,MIN(60,2*($F47-R$1+0.5)),0))</f>
        <v/>
      </c>
      <c r="T47" s="10" t="str">
        <f t="shared" si="13"/>
        <v/>
      </c>
      <c r="U47" s="10">
        <f t="shared" si="14"/>
        <v>1</v>
      </c>
      <c r="V47" s="11">
        <f t="shared" ca="1" si="17"/>
        <v>0</v>
      </c>
      <c r="W47" s="11">
        <f t="shared" ca="1" si="18"/>
        <v>0</v>
      </c>
      <c r="X47" s="355">
        <f t="shared" si="11"/>
        <v>0</v>
      </c>
      <c r="Z47" s="284"/>
      <c r="AA47" s="285"/>
      <c r="AB47" s="338"/>
      <c r="AC47" s="339"/>
      <c r="AD47" s="279"/>
      <c r="AE47" s="287"/>
      <c r="AF47" s="287"/>
    </row>
    <row r="48" spans="1:38" ht="13" x14ac:dyDescent="0.3">
      <c r="A48"/>
      <c r="B48"/>
      <c r="C48"/>
      <c r="D48"/>
      <c r="E48" s="322"/>
      <c r="F48" s="8">
        <f t="shared" si="6"/>
        <v>41</v>
      </c>
      <c r="G48" s="335">
        <f>'4050 Mortality'!C46</f>
        <v>4.4000000000000002E-4</v>
      </c>
      <c r="H48" s="10">
        <f t="shared" si="7"/>
        <v>0.99956</v>
      </c>
      <c r="I48" s="243">
        <f t="shared" si="15"/>
        <v>0.99981664313342367</v>
      </c>
      <c r="J48" s="328"/>
      <c r="K48" s="10">
        <f t="shared" si="19"/>
        <v>1</v>
      </c>
      <c r="L48" s="256" t="str" cm="1">
        <f t="array" ref="L48">IF($F48&lt;K$1,"",INDEX('4044 Yield Curves'!$C$7:$C$66,MIN(60,2*($F48-K$1+0.5)),0))</f>
        <v/>
      </c>
      <c r="M48" s="10" t="str">
        <f t="shared" si="12"/>
        <v/>
      </c>
      <c r="N48" s="10">
        <f t="shared" si="20"/>
        <v>1</v>
      </c>
      <c r="O48" s="11">
        <f t="shared" ca="1" si="1"/>
        <v>0</v>
      </c>
      <c r="P48" s="11">
        <f t="shared" ca="1" si="2"/>
        <v>0</v>
      </c>
      <c r="Q48" s="355">
        <f t="shared" si="16"/>
        <v>0</v>
      </c>
      <c r="R48" s="10">
        <f t="shared" si="21"/>
        <v>1</v>
      </c>
      <c r="S48" s="256" t="str" cm="1">
        <f t="array" ref="S48">IF($F48&lt;R$1,"",INDEX('4044 Yield Curves'!$C$7:$C$66,MIN(60,2*($F48-R$1+0.5)),0))</f>
        <v/>
      </c>
      <c r="T48" s="10" t="str">
        <f t="shared" si="13"/>
        <v/>
      </c>
      <c r="U48" s="10">
        <f t="shared" si="14"/>
        <v>1</v>
      </c>
      <c r="V48" s="11">
        <f t="shared" ca="1" si="17"/>
        <v>0</v>
      </c>
      <c r="W48" s="11">
        <f t="shared" ca="1" si="18"/>
        <v>0</v>
      </c>
      <c r="X48" s="355">
        <f t="shared" si="11"/>
        <v>0</v>
      </c>
      <c r="Z48" s="284"/>
      <c r="AA48" s="285"/>
      <c r="AB48" s="338"/>
      <c r="AC48" s="339"/>
      <c r="AD48" s="279"/>
      <c r="AE48" s="287"/>
      <c r="AF48" s="287"/>
    </row>
    <row r="49" spans="1:32" ht="13" x14ac:dyDescent="0.3">
      <c r="A49"/>
      <c r="B49"/>
      <c r="C49"/>
      <c r="D49"/>
      <c r="E49" s="322"/>
      <c r="F49" s="8">
        <f t="shared" si="6"/>
        <v>42</v>
      </c>
      <c r="G49" s="335">
        <f>'4050 Mortality'!C47</f>
        <v>4.6000000000000001E-4</v>
      </c>
      <c r="H49" s="10">
        <f t="shared" si="7"/>
        <v>0.99953999999999998</v>
      </c>
      <c r="I49" s="243">
        <f t="shared" si="15"/>
        <v>0.99980830761181061</v>
      </c>
      <c r="J49" s="328"/>
      <c r="K49" s="10">
        <f t="shared" si="19"/>
        <v>1</v>
      </c>
      <c r="L49" s="256" t="str" cm="1">
        <f t="array" ref="L49">IF($F49&lt;K$1,"",INDEX('4044 Yield Curves'!$C$7:$C$66,MIN(60,2*($F49-K$1+0.5)),0))</f>
        <v/>
      </c>
      <c r="M49" s="10" t="str">
        <f t="shared" si="12"/>
        <v/>
      </c>
      <c r="N49" s="10">
        <f t="shared" si="20"/>
        <v>1</v>
      </c>
      <c r="O49" s="11">
        <f t="shared" ca="1" si="1"/>
        <v>0</v>
      </c>
      <c r="P49" s="11">
        <f t="shared" ca="1" si="2"/>
        <v>0</v>
      </c>
      <c r="Q49" s="355">
        <f t="shared" si="16"/>
        <v>0</v>
      </c>
      <c r="R49" s="10">
        <f t="shared" si="21"/>
        <v>1</v>
      </c>
      <c r="S49" s="256" t="str" cm="1">
        <f t="array" ref="S49">IF($F49&lt;R$1,"",INDEX('4044 Yield Curves'!$C$7:$C$66,MIN(60,2*($F49-R$1+0.5)),0))</f>
        <v/>
      </c>
      <c r="T49" s="10" t="str">
        <f t="shared" si="13"/>
        <v/>
      </c>
      <c r="U49" s="10">
        <f t="shared" si="14"/>
        <v>1</v>
      </c>
      <c r="V49" s="11">
        <f t="shared" ca="1" si="17"/>
        <v>0</v>
      </c>
      <c r="W49" s="11">
        <f t="shared" ca="1" si="18"/>
        <v>0</v>
      </c>
      <c r="X49" s="355">
        <f t="shared" si="11"/>
        <v>0</v>
      </c>
      <c r="Z49" s="284"/>
      <c r="AA49" s="285"/>
      <c r="AB49" s="338"/>
      <c r="AC49" s="339"/>
      <c r="AD49" s="279"/>
      <c r="AE49" s="287"/>
      <c r="AF49" s="287"/>
    </row>
    <row r="50" spans="1:32" ht="13" x14ac:dyDescent="0.3">
      <c r="A50"/>
      <c r="B50"/>
      <c r="C50"/>
      <c r="D50"/>
      <c r="E50" s="322"/>
      <c r="F50" s="8">
        <f t="shared" si="6"/>
        <v>43</v>
      </c>
      <c r="G50" s="335">
        <f>'4050 Mortality'!C48</f>
        <v>4.8000000000000001E-4</v>
      </c>
      <c r="H50" s="10">
        <f t="shared" si="7"/>
        <v>0.99951999999999996</v>
      </c>
      <c r="I50" s="243">
        <f t="shared" si="15"/>
        <v>0.99979997199290449</v>
      </c>
      <c r="J50" s="328"/>
      <c r="K50" s="10">
        <f t="shared" si="19"/>
        <v>1</v>
      </c>
      <c r="L50" s="256" t="str" cm="1">
        <f t="array" ref="L50">IF($F50&lt;K$1,"",INDEX('4044 Yield Curves'!$C$7:$C$66,MIN(60,2*($F50-K$1+0.5)),0))</f>
        <v/>
      </c>
      <c r="M50" s="10" t="str">
        <f t="shared" si="12"/>
        <v/>
      </c>
      <c r="N50" s="10">
        <f t="shared" si="20"/>
        <v>1</v>
      </c>
      <c r="O50" s="11">
        <f t="shared" ca="1" si="1"/>
        <v>0</v>
      </c>
      <c r="P50" s="11">
        <f t="shared" ca="1" si="2"/>
        <v>0</v>
      </c>
      <c r="Q50" s="355">
        <f t="shared" si="16"/>
        <v>0</v>
      </c>
      <c r="R50" s="10">
        <f t="shared" si="21"/>
        <v>1</v>
      </c>
      <c r="S50" s="256" t="str" cm="1">
        <f t="array" ref="S50">IF($F50&lt;R$1,"",INDEX('4044 Yield Curves'!$C$7:$C$66,MIN(60,2*($F50-R$1+0.5)),0))</f>
        <v/>
      </c>
      <c r="T50" s="10" t="str">
        <f t="shared" si="13"/>
        <v/>
      </c>
      <c r="U50" s="10">
        <f t="shared" si="14"/>
        <v>1</v>
      </c>
      <c r="V50" s="11">
        <f t="shared" ca="1" si="17"/>
        <v>0</v>
      </c>
      <c r="W50" s="11">
        <f t="shared" ca="1" si="18"/>
        <v>0</v>
      </c>
      <c r="X50" s="355">
        <f t="shared" si="11"/>
        <v>0</v>
      </c>
      <c r="Z50" s="284"/>
      <c r="AA50" s="285"/>
      <c r="AB50" s="338"/>
      <c r="AC50" s="339"/>
      <c r="AD50" s="279"/>
      <c r="AE50" s="287"/>
      <c r="AF50" s="287"/>
    </row>
    <row r="51" spans="1:32" ht="13" x14ac:dyDescent="0.3">
      <c r="A51"/>
      <c r="B51"/>
      <c r="C51"/>
      <c r="D51"/>
      <c r="E51" s="322"/>
      <c r="F51" s="8">
        <f t="shared" si="6"/>
        <v>44</v>
      </c>
      <c r="G51" s="335">
        <f>'4050 Mortality'!C49</f>
        <v>5.0000000000000001E-4</v>
      </c>
      <c r="H51" s="10">
        <f t="shared" si="7"/>
        <v>0.99950000000000006</v>
      </c>
      <c r="I51" s="243">
        <f t="shared" si="15"/>
        <v>0.9997916362767022</v>
      </c>
      <c r="J51" s="328"/>
      <c r="K51" s="10">
        <f t="shared" si="19"/>
        <v>1</v>
      </c>
      <c r="L51" s="256" t="str" cm="1">
        <f t="array" ref="L51">IF($F51&lt;K$1,"",INDEX('4044 Yield Curves'!$C$7:$C$66,MIN(60,2*($F51-K$1+0.5)),0))</f>
        <v/>
      </c>
      <c r="M51" s="10" t="str">
        <f t="shared" si="12"/>
        <v/>
      </c>
      <c r="N51" s="10">
        <f t="shared" si="20"/>
        <v>1</v>
      </c>
      <c r="O51" s="11">
        <f t="shared" ca="1" si="1"/>
        <v>0</v>
      </c>
      <c r="P51" s="11">
        <f t="shared" ca="1" si="2"/>
        <v>0</v>
      </c>
      <c r="Q51" s="355">
        <f t="shared" si="16"/>
        <v>0</v>
      </c>
      <c r="R51" s="10">
        <f t="shared" si="21"/>
        <v>1</v>
      </c>
      <c r="S51" s="256" t="str" cm="1">
        <f t="array" ref="S51">IF($F51&lt;R$1,"",INDEX('4044 Yield Curves'!$C$7:$C$66,MIN(60,2*($F51-R$1+0.5)),0))</f>
        <v/>
      </c>
      <c r="T51" s="10" t="str">
        <f t="shared" si="13"/>
        <v/>
      </c>
      <c r="U51" s="10">
        <f t="shared" si="14"/>
        <v>1</v>
      </c>
      <c r="V51" s="11">
        <f t="shared" ca="1" si="17"/>
        <v>0</v>
      </c>
      <c r="W51" s="11">
        <f t="shared" ca="1" si="18"/>
        <v>0</v>
      </c>
      <c r="X51" s="355">
        <f t="shared" si="11"/>
        <v>0</v>
      </c>
      <c r="Z51" s="284"/>
      <c r="AA51" s="285"/>
      <c r="AB51" s="338"/>
      <c r="AC51" s="339"/>
      <c r="AD51" s="279"/>
      <c r="AE51" s="287"/>
      <c r="AF51" s="287"/>
    </row>
    <row r="52" spans="1:32" ht="13" x14ac:dyDescent="0.3">
      <c r="A52"/>
      <c r="B52"/>
      <c r="C52"/>
      <c r="D52"/>
      <c r="E52" s="322"/>
      <c r="F52" s="8">
        <f t="shared" si="6"/>
        <v>45</v>
      </c>
      <c r="G52" s="335">
        <f>'4050 Mortality'!C50</f>
        <v>5.1999999999999995E-4</v>
      </c>
      <c r="H52" s="10">
        <f t="shared" si="7"/>
        <v>0.99948000000000004</v>
      </c>
      <c r="I52" s="243">
        <f t="shared" si="15"/>
        <v>0.99978330046320063</v>
      </c>
      <c r="J52" s="328"/>
      <c r="K52" s="10">
        <f t="shared" si="19"/>
        <v>1</v>
      </c>
      <c r="L52" s="256" t="str" cm="1">
        <f t="array" ref="L52">IF($F52&lt;K$1,"",INDEX('4044 Yield Curves'!$C$7:$C$66,MIN(60,2*($F52-K$1+0.5)),0))</f>
        <v/>
      </c>
      <c r="M52" s="10" t="str">
        <f t="shared" si="12"/>
        <v/>
      </c>
      <c r="N52" s="10">
        <f t="shared" si="20"/>
        <v>1</v>
      </c>
      <c r="O52" s="11">
        <f t="shared" ca="1" si="1"/>
        <v>0</v>
      </c>
      <c r="P52" s="11">
        <f t="shared" ca="1" si="2"/>
        <v>0</v>
      </c>
      <c r="Q52" s="355">
        <f t="shared" si="16"/>
        <v>0</v>
      </c>
      <c r="R52" s="10">
        <f t="shared" si="21"/>
        <v>1</v>
      </c>
      <c r="S52" s="256" t="str" cm="1">
        <f t="array" ref="S52">IF($F52&lt;R$1,"",INDEX('4044 Yield Curves'!$C$7:$C$66,MIN(60,2*($F52-R$1+0.5)),0))</f>
        <v/>
      </c>
      <c r="T52" s="10" t="str">
        <f t="shared" si="13"/>
        <v/>
      </c>
      <c r="U52" s="10">
        <f t="shared" si="14"/>
        <v>1</v>
      </c>
      <c r="V52" s="11">
        <f t="shared" ca="1" si="17"/>
        <v>0</v>
      </c>
      <c r="W52" s="11">
        <f t="shared" ca="1" si="18"/>
        <v>0</v>
      </c>
      <c r="X52" s="355">
        <f t="shared" si="11"/>
        <v>0</v>
      </c>
      <c r="Z52" s="284"/>
      <c r="AA52" s="285"/>
      <c r="AB52" s="338"/>
      <c r="AC52" s="339"/>
      <c r="AD52" s="279"/>
      <c r="AE52" s="287"/>
      <c r="AF52" s="287"/>
    </row>
    <row r="53" spans="1:32" ht="13" x14ac:dyDescent="0.3">
      <c r="A53"/>
      <c r="B53"/>
      <c r="C53"/>
      <c r="D53"/>
      <c r="E53" s="322"/>
      <c r="F53" s="8">
        <f t="shared" si="6"/>
        <v>46</v>
      </c>
      <c r="G53" s="335">
        <f>'4050 Mortality'!C51</f>
        <v>5.5999999999999995E-4</v>
      </c>
      <c r="H53" s="10">
        <f t="shared" si="7"/>
        <v>0.99944</v>
      </c>
      <c r="I53" s="243">
        <f t="shared" si="15"/>
        <v>0.99976662854428755</v>
      </c>
      <c r="J53" s="328"/>
      <c r="K53" s="10">
        <f t="shared" si="19"/>
        <v>1</v>
      </c>
      <c r="L53" s="256" t="str" cm="1">
        <f t="array" ref="L53">IF($F53&lt;K$1,"",INDEX('4044 Yield Curves'!$C$7:$C$66,MIN(60,2*($F53-K$1+0.5)),0))</f>
        <v/>
      </c>
      <c r="M53" s="10" t="str">
        <f t="shared" si="12"/>
        <v/>
      </c>
      <c r="N53" s="10">
        <f t="shared" si="20"/>
        <v>1</v>
      </c>
      <c r="O53" s="11">
        <f t="shared" ca="1" si="1"/>
        <v>0</v>
      </c>
      <c r="P53" s="11">
        <f t="shared" ca="1" si="2"/>
        <v>0</v>
      </c>
      <c r="Q53" s="355">
        <f t="shared" si="16"/>
        <v>0</v>
      </c>
      <c r="R53" s="10">
        <f t="shared" si="21"/>
        <v>1</v>
      </c>
      <c r="S53" s="256" t="str" cm="1">
        <f t="array" ref="S53">IF($F53&lt;R$1,"",INDEX('4044 Yield Curves'!$C$7:$C$66,MIN(60,2*($F53-R$1+0.5)),0))</f>
        <v/>
      </c>
      <c r="T53" s="10" t="str">
        <f t="shared" si="13"/>
        <v/>
      </c>
      <c r="U53" s="10">
        <f t="shared" si="14"/>
        <v>1</v>
      </c>
      <c r="V53" s="11">
        <f t="shared" ca="1" si="17"/>
        <v>0</v>
      </c>
      <c r="W53" s="11">
        <f t="shared" ca="1" si="18"/>
        <v>0</v>
      </c>
      <c r="X53" s="355">
        <f t="shared" si="11"/>
        <v>0</v>
      </c>
      <c r="Z53" s="284"/>
      <c r="AA53" s="285"/>
      <c r="AB53" s="338"/>
      <c r="AC53" s="339"/>
      <c r="AD53" s="279"/>
      <c r="AE53" s="287"/>
      <c r="AF53" s="287"/>
    </row>
    <row r="54" spans="1:32" ht="13" x14ac:dyDescent="0.3">
      <c r="A54"/>
      <c r="B54"/>
      <c r="C54"/>
      <c r="D54"/>
      <c r="E54" s="322"/>
      <c r="F54" s="8">
        <f t="shared" si="6"/>
        <v>47</v>
      </c>
      <c r="G54" s="335">
        <f>'4050 Mortality'!C52</f>
        <v>5.9000000000000003E-4</v>
      </c>
      <c r="H54" s="10">
        <f t="shared" si="7"/>
        <v>0.99941000000000002</v>
      </c>
      <c r="I54" s="243">
        <f t="shared" si="15"/>
        <v>0.99975412434966926</v>
      </c>
      <c r="J54" s="328"/>
      <c r="K54" s="10">
        <f t="shared" si="19"/>
        <v>1</v>
      </c>
      <c r="L54" s="256" t="str" cm="1">
        <f t="array" ref="L54">IF($F54&lt;K$1,"",INDEX('4044 Yield Curves'!$C$7:$C$66,MIN(60,2*($F54-K$1+0.5)),0))</f>
        <v/>
      </c>
      <c r="M54" s="10" t="str">
        <f t="shared" si="12"/>
        <v/>
      </c>
      <c r="N54" s="10">
        <f t="shared" si="20"/>
        <v>1</v>
      </c>
      <c r="O54" s="11">
        <f t="shared" ca="1" si="1"/>
        <v>0</v>
      </c>
      <c r="P54" s="11">
        <f t="shared" ca="1" si="2"/>
        <v>0</v>
      </c>
      <c r="Q54" s="355">
        <f t="shared" si="16"/>
        <v>0</v>
      </c>
      <c r="R54" s="10">
        <f t="shared" si="21"/>
        <v>1</v>
      </c>
      <c r="S54" s="256" t="str" cm="1">
        <f t="array" ref="S54">IF($F54&lt;R$1,"",INDEX('4044 Yield Curves'!$C$7:$C$66,MIN(60,2*($F54-R$1+0.5)),0))</f>
        <v/>
      </c>
      <c r="T54" s="10" t="str">
        <f t="shared" si="13"/>
        <v/>
      </c>
      <c r="U54" s="10">
        <f t="shared" si="14"/>
        <v>1</v>
      </c>
      <c r="V54" s="11">
        <f t="shared" ca="1" si="17"/>
        <v>0</v>
      </c>
      <c r="W54" s="11">
        <f t="shared" ca="1" si="18"/>
        <v>0</v>
      </c>
      <c r="X54" s="355">
        <f t="shared" si="11"/>
        <v>0</v>
      </c>
      <c r="Z54" s="284"/>
      <c r="AA54" s="285"/>
      <c r="AB54" s="338"/>
      <c r="AC54" s="339"/>
      <c r="AD54" s="279"/>
      <c r="AE54" s="287"/>
      <c r="AF54" s="287"/>
    </row>
    <row r="55" spans="1:32" ht="13" x14ac:dyDescent="0.3">
      <c r="A55"/>
      <c r="B55"/>
      <c r="C55"/>
      <c r="D55"/>
      <c r="E55" s="322"/>
      <c r="F55" s="8">
        <f t="shared" si="6"/>
        <v>48</v>
      </c>
      <c r="G55" s="335">
        <f>'4050 Mortality'!C53</f>
        <v>6.4000000000000005E-4</v>
      </c>
      <c r="H55" s="10">
        <f t="shared" si="7"/>
        <v>0.99936000000000003</v>
      </c>
      <c r="I55" s="243">
        <f t="shared" si="15"/>
        <v>0.99973328353873481</v>
      </c>
      <c r="J55" s="328"/>
      <c r="K55" s="10">
        <f t="shared" si="19"/>
        <v>1</v>
      </c>
      <c r="L55" s="256" t="str" cm="1">
        <f t="array" ref="L55">IF($F55&lt;K$1,"",INDEX('4044 Yield Curves'!$C$7:$C$66,MIN(60,2*($F55-K$1+0.5)),0))</f>
        <v/>
      </c>
      <c r="M55" s="10" t="str">
        <f t="shared" si="12"/>
        <v/>
      </c>
      <c r="N55" s="10">
        <f t="shared" si="20"/>
        <v>1</v>
      </c>
      <c r="O55" s="11">
        <f t="shared" ca="1" si="1"/>
        <v>0</v>
      </c>
      <c r="P55" s="11">
        <f t="shared" ca="1" si="2"/>
        <v>0</v>
      </c>
      <c r="Q55" s="355">
        <f t="shared" si="16"/>
        <v>0</v>
      </c>
      <c r="R55" s="10">
        <f t="shared" si="21"/>
        <v>1</v>
      </c>
      <c r="S55" s="256" t="str" cm="1">
        <f t="array" ref="S55">IF($F55&lt;R$1,"",INDEX('4044 Yield Curves'!$C$7:$C$66,MIN(60,2*($F55-R$1+0.5)),0))</f>
        <v/>
      </c>
      <c r="T55" s="10" t="str">
        <f t="shared" si="13"/>
        <v/>
      </c>
      <c r="U55" s="10">
        <f t="shared" si="14"/>
        <v>1</v>
      </c>
      <c r="V55" s="11">
        <f t="shared" ca="1" si="17"/>
        <v>0</v>
      </c>
      <c r="W55" s="11">
        <f t="shared" ca="1" si="18"/>
        <v>0</v>
      </c>
      <c r="X55" s="355">
        <f t="shared" si="11"/>
        <v>0</v>
      </c>
      <c r="Z55" s="284"/>
      <c r="AA55" s="285"/>
      <c r="AB55" s="338"/>
      <c r="AC55" s="339"/>
      <c r="AD55" s="279"/>
      <c r="AE55" s="287"/>
      <c r="AF55" s="287"/>
    </row>
    <row r="56" spans="1:32" ht="13" x14ac:dyDescent="0.3">
      <c r="A56"/>
      <c r="B56"/>
      <c r="C56"/>
      <c r="D56"/>
      <c r="E56" s="322"/>
      <c r="F56" s="8">
        <f t="shared" si="6"/>
        <v>49</v>
      </c>
      <c r="G56" s="335">
        <f>'4050 Mortality'!C54</f>
        <v>6.8000000000000005E-4</v>
      </c>
      <c r="H56" s="10">
        <f t="shared" si="7"/>
        <v>0.99931999999999999</v>
      </c>
      <c r="I56" s="243">
        <f t="shared" si="15"/>
        <v>0.99971661045204574</v>
      </c>
      <c r="J56" s="328"/>
      <c r="K56" s="10">
        <f t="shared" si="19"/>
        <v>1</v>
      </c>
      <c r="L56" s="256" t="str" cm="1">
        <f t="array" ref="L56">IF($F56&lt;K$1,"",INDEX('4044 Yield Curves'!$C$7:$C$66,MIN(60,2*($F56-K$1+0.5)),0))</f>
        <v/>
      </c>
      <c r="M56" s="10" t="str">
        <f t="shared" si="12"/>
        <v/>
      </c>
      <c r="N56" s="10">
        <f t="shared" si="20"/>
        <v>1</v>
      </c>
      <c r="O56" s="11">
        <f t="shared" ca="1" si="1"/>
        <v>0</v>
      </c>
      <c r="P56" s="11">
        <f t="shared" ca="1" si="2"/>
        <v>0</v>
      </c>
      <c r="Q56" s="355">
        <f t="shared" si="16"/>
        <v>0</v>
      </c>
      <c r="R56" s="10">
        <f t="shared" si="21"/>
        <v>1</v>
      </c>
      <c r="S56" s="256" t="str" cm="1">
        <f t="array" ref="S56">IF($F56&lt;R$1,"",INDEX('4044 Yield Curves'!$C$7:$C$66,MIN(60,2*($F56-R$1+0.5)),0))</f>
        <v/>
      </c>
      <c r="T56" s="10" t="str">
        <f t="shared" si="13"/>
        <v/>
      </c>
      <c r="U56" s="10">
        <f t="shared" si="14"/>
        <v>1</v>
      </c>
      <c r="V56" s="11">
        <f t="shared" ca="1" si="17"/>
        <v>0</v>
      </c>
      <c r="W56" s="11">
        <f t="shared" ca="1" si="18"/>
        <v>0</v>
      </c>
      <c r="X56" s="355">
        <f t="shared" si="11"/>
        <v>0</v>
      </c>
      <c r="Z56" s="284"/>
      <c r="AA56" s="285"/>
      <c r="AB56" s="338"/>
      <c r="AC56" s="339"/>
      <c r="AD56" s="279"/>
      <c r="AE56" s="287"/>
      <c r="AF56" s="287"/>
    </row>
    <row r="57" spans="1:32" ht="13" x14ac:dyDescent="0.3">
      <c r="A57"/>
      <c r="B57"/>
      <c r="C57"/>
      <c r="D57"/>
      <c r="E57" s="322"/>
      <c r="F57" s="8">
        <f t="shared" si="6"/>
        <v>50</v>
      </c>
      <c r="G57" s="335">
        <f>'4050 Mortality'!C55</f>
        <v>7.5000000000000002E-4</v>
      </c>
      <c r="H57" s="10">
        <f t="shared" si="7"/>
        <v>0.99924999999999997</v>
      </c>
      <c r="I57" s="243">
        <f t="shared" si="15"/>
        <v>0.999687431613553</v>
      </c>
      <c r="J57" s="328"/>
      <c r="K57" s="10">
        <f t="shared" si="19"/>
        <v>1</v>
      </c>
      <c r="L57" s="256" cm="1">
        <f t="array" ref="L57">IF($F57&lt;K$1,"",INDEX('4044 Yield Curves'!$C$7:$C$66,MIN(60,2*($F57-K$1+0.5)),0))</f>
        <v>4.2099999999999999E-2</v>
      </c>
      <c r="M57" s="10">
        <f t="shared" si="12"/>
        <v>-0.45833333333333331</v>
      </c>
      <c r="N57" s="10">
        <f t="shared" si="20"/>
        <v>0.98127679049711725</v>
      </c>
      <c r="O57" s="11">
        <f t="shared" ca="1" si="1"/>
        <v>0</v>
      </c>
      <c r="P57" s="11">
        <f t="shared" ca="1" si="2"/>
        <v>0</v>
      </c>
      <c r="Q57" s="355">
        <f t="shared" si="16"/>
        <v>0</v>
      </c>
      <c r="R57" s="10">
        <f t="shared" si="21"/>
        <v>1</v>
      </c>
      <c r="S57" s="256" t="str" cm="1">
        <f t="array" ref="S57">IF($F57&lt;R$1,"",INDEX('4044 Yield Curves'!$C$7:$C$66,MIN(60,2*($F57-R$1+0.5)),0))</f>
        <v/>
      </c>
      <c r="T57" s="10" t="str">
        <f t="shared" si="13"/>
        <v/>
      </c>
      <c r="U57" s="10">
        <f t="shared" si="14"/>
        <v>1</v>
      </c>
      <c r="V57" s="11">
        <f t="shared" ca="1" si="17"/>
        <v>0</v>
      </c>
      <c r="W57" s="11">
        <f t="shared" ca="1" si="18"/>
        <v>0</v>
      </c>
      <c r="X57" s="355">
        <f t="shared" si="11"/>
        <v>0</v>
      </c>
      <c r="Z57" s="284"/>
      <c r="AA57" s="285"/>
      <c r="AB57" s="338"/>
      <c r="AC57" s="339"/>
      <c r="AD57" s="279"/>
      <c r="AE57" s="287"/>
      <c r="AF57" s="287"/>
    </row>
    <row r="58" spans="1:32" ht="13" x14ac:dyDescent="0.3">
      <c r="A58"/>
      <c r="B58"/>
      <c r="C58"/>
      <c r="D58"/>
      <c r="E58" s="322"/>
      <c r="F58" s="8">
        <f t="shared" si="6"/>
        <v>51</v>
      </c>
      <c r="G58" s="335">
        <f>'4050 Mortality'!C56</f>
        <v>8.3000000000000001E-4</v>
      </c>
      <c r="H58" s="10">
        <f t="shared" si="7"/>
        <v>0.99917</v>
      </c>
      <c r="I58" s="243">
        <f t="shared" si="15"/>
        <v>0.99965408290948665</v>
      </c>
      <c r="J58" s="328"/>
      <c r="K58" s="10">
        <f t="shared" si="19"/>
        <v>0.99924999999999997</v>
      </c>
      <c r="L58" s="256" cm="1">
        <f t="array" ref="L58">IF($F58&lt;K$1,"",INDEX('4044 Yield Curves'!$C$7:$C$66,MIN(60,2*($F58-K$1+0.5)),0))</f>
        <v>4.2300000000000004E-2</v>
      </c>
      <c r="M58" s="10">
        <f t="shared" si="12"/>
        <v>-1.4583333333333333</v>
      </c>
      <c r="N58" s="10">
        <f t="shared" si="20"/>
        <v>0.94137051340744049</v>
      </c>
      <c r="O58" s="11">
        <f t="shared" ca="1" si="1"/>
        <v>0</v>
      </c>
      <c r="P58" s="11">
        <f t="shared" ca="1" si="2"/>
        <v>0</v>
      </c>
      <c r="Q58" s="355">
        <f t="shared" si="16"/>
        <v>1</v>
      </c>
      <c r="R58" s="10">
        <f t="shared" si="21"/>
        <v>1</v>
      </c>
      <c r="S58" s="256" cm="1">
        <f t="array" ref="S58">IF($F58&lt;R$1,"",INDEX('4044 Yield Curves'!$C$7:$C$66,MIN(60,2*($F58-R$1+0.5)),0))</f>
        <v>4.2099999999999999E-2</v>
      </c>
      <c r="T58" s="10">
        <f t="shared" si="13"/>
        <v>-0.45833333333333331</v>
      </c>
      <c r="U58" s="10">
        <f t="shared" si="14"/>
        <v>0.98127679049711725</v>
      </c>
      <c r="V58" s="11">
        <f t="shared" ca="1" si="17"/>
        <v>0</v>
      </c>
      <c r="W58" s="11">
        <f t="shared" ca="1" si="18"/>
        <v>0</v>
      </c>
      <c r="X58" s="355">
        <f t="shared" si="11"/>
        <v>0</v>
      </c>
      <c r="Z58" s="284"/>
      <c r="AA58" s="285"/>
      <c r="AB58" s="338"/>
      <c r="AC58" s="339"/>
      <c r="AD58" s="279"/>
      <c r="AE58" s="287"/>
      <c r="AF58" s="287"/>
    </row>
    <row r="59" spans="1:32" ht="13" x14ac:dyDescent="0.3">
      <c r="A59"/>
      <c r="B59"/>
      <c r="C59"/>
      <c r="D59"/>
      <c r="E59" s="322"/>
      <c r="F59" s="8">
        <f t="shared" si="6"/>
        <v>52</v>
      </c>
      <c r="G59" s="335">
        <f>'4050 Mortality'!C57</f>
        <v>9.2000000000000003E-4</v>
      </c>
      <c r="H59" s="10">
        <f t="shared" si="7"/>
        <v>0.99907999999999997</v>
      </c>
      <c r="I59" s="243">
        <f t="shared" si="15"/>
        <v>0.99961656375558106</v>
      </c>
      <c r="J59" s="328"/>
      <c r="K59" s="10">
        <f t="shared" si="19"/>
        <v>0.99842062249999997</v>
      </c>
      <c r="L59" s="256" cm="1">
        <f t="array" ref="L59">IF($F59&lt;K$1,"",INDEX('4044 Yield Curves'!$C$7:$C$66,MIN(60,2*($F59-K$1+0.5)),0))</f>
        <v>4.3000000000000003E-2</v>
      </c>
      <c r="M59" s="10">
        <f t="shared" si="12"/>
        <v>-2.4583333333333335</v>
      </c>
      <c r="N59" s="10">
        <f t="shared" si="20"/>
        <v>0.90167717293932792</v>
      </c>
      <c r="O59" s="11">
        <f t="shared" ca="1" si="1"/>
        <v>0</v>
      </c>
      <c r="P59" s="11">
        <f t="shared" ca="1" si="2"/>
        <v>0</v>
      </c>
      <c r="Q59" s="355">
        <f t="shared" si="16"/>
        <v>2</v>
      </c>
      <c r="R59" s="10">
        <f t="shared" si="21"/>
        <v>0.99917</v>
      </c>
      <c r="S59" s="256" cm="1">
        <f t="array" ref="S59">IF($F59&lt;R$1,"",INDEX('4044 Yield Curves'!$C$7:$C$66,MIN(60,2*($F59-R$1+0.5)),0))</f>
        <v>4.2300000000000004E-2</v>
      </c>
      <c r="T59" s="10">
        <f t="shared" si="13"/>
        <v>-1.4583333333333333</v>
      </c>
      <c r="U59" s="10">
        <f t="shared" si="14"/>
        <v>0.94137051340744049</v>
      </c>
      <c r="V59" s="11">
        <f t="shared" ca="1" si="17"/>
        <v>0</v>
      </c>
      <c r="W59" s="11">
        <f t="shared" ca="1" si="18"/>
        <v>0</v>
      </c>
      <c r="X59" s="355">
        <f t="shared" si="11"/>
        <v>1</v>
      </c>
      <c r="Z59" s="284"/>
      <c r="AA59" s="285"/>
      <c r="AB59" s="338"/>
      <c r="AC59" s="339"/>
      <c r="AD59" s="279"/>
      <c r="AE59" s="287"/>
      <c r="AF59" s="287"/>
    </row>
    <row r="60" spans="1:32" ht="13" x14ac:dyDescent="0.3">
      <c r="A60"/>
      <c r="B60"/>
      <c r="C60"/>
      <c r="D60"/>
      <c r="E60" s="322"/>
      <c r="F60" s="8">
        <f t="shared" si="6"/>
        <v>53</v>
      </c>
      <c r="G60" s="335">
        <f>'4050 Mortality'!C58</f>
        <v>1.0300000000000001E-3</v>
      </c>
      <c r="H60" s="10">
        <f t="shared" si="7"/>
        <v>0.99897000000000002</v>
      </c>
      <c r="I60" s="243">
        <f t="shared" si="15"/>
        <v>0.99957070433438011</v>
      </c>
      <c r="J60" s="328"/>
      <c r="K60" s="10">
        <f t="shared" si="19"/>
        <v>0.99750207552729997</v>
      </c>
      <c r="L60" s="256" cm="1">
        <f t="array" ref="L60">IF($F60&lt;K$1,"",INDEX('4044 Yield Curves'!$C$7:$C$66,MIN(60,2*($F60-K$1+0.5)),0))</f>
        <v>4.3799999999999999E-2</v>
      </c>
      <c r="M60" s="10">
        <f t="shared" si="12"/>
        <v>-3.4583333333333335</v>
      </c>
      <c r="N60" s="10">
        <f t="shared" si="20"/>
        <v>0.86221425088998493</v>
      </c>
      <c r="O60" s="11">
        <f t="shared" ca="1" si="1"/>
        <v>0</v>
      </c>
      <c r="P60" s="11">
        <f t="shared" ca="1" si="2"/>
        <v>0</v>
      </c>
      <c r="Q60" s="355">
        <f t="shared" si="16"/>
        <v>3</v>
      </c>
      <c r="R60" s="10">
        <f t="shared" si="21"/>
        <v>0.99825076359999998</v>
      </c>
      <c r="S60" s="256" cm="1">
        <f t="array" ref="S60">IF($F60&lt;R$1,"",INDEX('4044 Yield Curves'!$C$7:$C$66,MIN(60,2*($F60-R$1+0.5)),0))</f>
        <v>4.3000000000000003E-2</v>
      </c>
      <c r="T60" s="10">
        <f t="shared" si="13"/>
        <v>-2.4583333333333335</v>
      </c>
      <c r="U60" s="10">
        <f t="shared" si="14"/>
        <v>0.90167717293932792</v>
      </c>
      <c r="V60" s="11">
        <f t="shared" ca="1" si="17"/>
        <v>0</v>
      </c>
      <c r="W60" s="11">
        <f t="shared" ca="1" si="18"/>
        <v>0</v>
      </c>
      <c r="X60" s="355">
        <f t="shared" si="11"/>
        <v>2</v>
      </c>
      <c r="Z60" s="284"/>
      <c r="AA60" s="285"/>
      <c r="AB60" s="338"/>
      <c r="AC60" s="339"/>
      <c r="AD60" s="279"/>
      <c r="AE60" s="287"/>
      <c r="AF60" s="287"/>
    </row>
    <row r="61" spans="1:32" ht="13" x14ac:dyDescent="0.3">
      <c r="A61"/>
      <c r="B61"/>
      <c r="C61"/>
      <c r="D61"/>
      <c r="E61" s="322"/>
      <c r="F61" s="8">
        <f t="shared" si="6"/>
        <v>54</v>
      </c>
      <c r="G61" s="335">
        <f>'4050 Mortality'!C59</f>
        <v>1.17E-3</v>
      </c>
      <c r="H61" s="10">
        <f t="shared" si="7"/>
        <v>0.99883</v>
      </c>
      <c r="I61" s="243">
        <f t="shared" si="15"/>
        <v>0.99951233353782043</v>
      </c>
      <c r="J61" s="328"/>
      <c r="K61" s="10">
        <f t="shared" si="19"/>
        <v>0.99647464838950683</v>
      </c>
      <c r="L61" s="256" cm="1">
        <f t="array" ref="L61">IF($F61&lt;K$1,"",INDEX('4044 Yield Curves'!$C$7:$C$66,MIN(60,2*($F61-K$1+0.5)),0))</f>
        <v>4.4900000000000002E-2</v>
      </c>
      <c r="M61" s="10">
        <f t="shared" si="12"/>
        <v>-4.458333333333333</v>
      </c>
      <c r="N61" s="10">
        <f t="shared" si="20"/>
        <v>0.82216408069061608</v>
      </c>
      <c r="O61" s="11">
        <f t="shared" ca="1" si="1"/>
        <v>0</v>
      </c>
      <c r="P61" s="11">
        <f t="shared" ca="1" si="2"/>
        <v>0</v>
      </c>
      <c r="Q61" s="355">
        <f t="shared" si="16"/>
        <v>4</v>
      </c>
      <c r="R61" s="10">
        <f t="shared" si="21"/>
        <v>0.99722256531349196</v>
      </c>
      <c r="S61" s="256" cm="1">
        <f t="array" ref="S61">IF($F61&lt;R$1,"",INDEX('4044 Yield Curves'!$C$7:$C$66,MIN(60,2*($F61-R$1+0.5)),0))</f>
        <v>4.3799999999999999E-2</v>
      </c>
      <c r="T61" s="10">
        <f t="shared" si="13"/>
        <v>-3.4583333333333335</v>
      </c>
      <c r="U61" s="10">
        <f t="shared" si="14"/>
        <v>0.86221425088998493</v>
      </c>
      <c r="V61" s="11">
        <f t="shared" ca="1" si="17"/>
        <v>0</v>
      </c>
      <c r="W61" s="11">
        <f t="shared" ca="1" si="18"/>
        <v>0</v>
      </c>
      <c r="X61" s="355">
        <f t="shared" si="11"/>
        <v>3</v>
      </c>
      <c r="Z61" s="284"/>
      <c r="AA61" s="285"/>
      <c r="AB61" s="338"/>
      <c r="AC61" s="339"/>
      <c r="AD61" s="279"/>
      <c r="AE61" s="287"/>
      <c r="AF61" s="287"/>
    </row>
    <row r="62" spans="1:32" ht="13" x14ac:dyDescent="0.3">
      <c r="A62"/>
      <c r="B62"/>
      <c r="C62"/>
      <c r="D62"/>
      <c r="E62" s="322"/>
      <c r="F62" s="8">
        <f t="shared" si="6"/>
        <v>55</v>
      </c>
      <c r="G62" s="335">
        <f>'4050 Mortality'!C60</f>
        <v>1.39E-3</v>
      </c>
      <c r="H62" s="10">
        <f t="shared" si="7"/>
        <v>0.99861</v>
      </c>
      <c r="I62" s="243">
        <f t="shared" si="15"/>
        <v>0.99942059835710439</v>
      </c>
      <c r="J62" s="328"/>
      <c r="K62" s="10">
        <f t="shared" si="19"/>
        <v>0.99530877305089116</v>
      </c>
      <c r="L62" s="256" cm="1">
        <f t="array" ref="L62">IF($F62&lt;K$1,"",INDEX('4044 Yield Curves'!$C$7:$C$66,MIN(60,2*($F62-K$1+0.5)),0))</f>
        <v>4.5999999999999999E-2</v>
      </c>
      <c r="M62" s="10">
        <f t="shared" si="12"/>
        <v>-5.458333333333333</v>
      </c>
      <c r="N62" s="10">
        <f t="shared" si="20"/>
        <v>0.78232922687590856</v>
      </c>
      <c r="O62" s="11">
        <f t="shared" ca="1" si="1"/>
        <v>0</v>
      </c>
      <c r="P62" s="11">
        <f t="shared" ca="1" si="2"/>
        <v>0</v>
      </c>
      <c r="Q62" s="355">
        <f t="shared" si="16"/>
        <v>5</v>
      </c>
      <c r="R62" s="10">
        <f t="shared" si="21"/>
        <v>0.99605581491207518</v>
      </c>
      <c r="S62" s="256" cm="1">
        <f t="array" ref="S62">IF($F62&lt;R$1,"",INDEX('4044 Yield Curves'!$C$7:$C$66,MIN(60,2*($F62-R$1+0.5)),0))</f>
        <v>4.4900000000000002E-2</v>
      </c>
      <c r="T62" s="10">
        <f t="shared" si="13"/>
        <v>-4.458333333333333</v>
      </c>
      <c r="U62" s="10">
        <f t="shared" si="14"/>
        <v>0.82216408069061608</v>
      </c>
      <c r="V62" s="11">
        <f t="shared" ca="1" si="17"/>
        <v>0</v>
      </c>
      <c r="W62" s="11">
        <f t="shared" ca="1" si="18"/>
        <v>0</v>
      </c>
      <c r="X62" s="355">
        <f t="shared" si="11"/>
        <v>4</v>
      </c>
      <c r="Z62" s="284"/>
      <c r="AA62" s="285"/>
      <c r="AB62" s="338"/>
      <c r="AC62" s="339"/>
      <c r="AD62" s="279"/>
      <c r="AE62" s="287"/>
      <c r="AF62" s="287"/>
    </row>
    <row r="63" spans="1:32" ht="13" x14ac:dyDescent="0.3">
      <c r="A63"/>
      <c r="B63"/>
      <c r="C63"/>
      <c r="D63"/>
      <c r="E63" s="322"/>
      <c r="F63" s="8">
        <f t="shared" si="6"/>
        <v>56</v>
      </c>
      <c r="G63" s="335">
        <f>'4050 Mortality'!C61</f>
        <v>1.72E-3</v>
      </c>
      <c r="H63" s="10">
        <f t="shared" si="7"/>
        <v>0.99827999999999995</v>
      </c>
      <c r="I63" s="243">
        <f t="shared" si="15"/>
        <v>0.99928297347882122</v>
      </c>
      <c r="J63" s="328"/>
      <c r="K63" s="10">
        <f t="shared" si="19"/>
        <v>0.99392529385635042</v>
      </c>
      <c r="L63" s="256" cm="1">
        <f t="array" ref="L63">IF($F63&lt;K$1,"",INDEX('4044 Yield Curves'!$C$7:$C$66,MIN(60,2*($F63-K$1+0.5)),0))</f>
        <v>4.7199999999999999E-2</v>
      </c>
      <c r="M63" s="10">
        <f t="shared" si="12"/>
        <v>-6.458333333333333</v>
      </c>
      <c r="N63" s="10">
        <f t="shared" si="20"/>
        <v>0.74240681526769903</v>
      </c>
      <c r="O63" s="11">
        <f t="shared" ca="1" si="1"/>
        <v>0</v>
      </c>
      <c r="P63" s="11">
        <f t="shared" ca="1" si="2"/>
        <v>0</v>
      </c>
      <c r="Q63" s="355">
        <f t="shared" si="16"/>
        <v>6</v>
      </c>
      <c r="R63" s="10">
        <f t="shared" si="21"/>
        <v>0.99467129732934734</v>
      </c>
      <c r="S63" s="256" cm="1">
        <f t="array" ref="S63">IF($F63&lt;R$1,"",INDEX('4044 Yield Curves'!$C$7:$C$66,MIN(60,2*($F63-R$1+0.5)),0))</f>
        <v>4.5999999999999999E-2</v>
      </c>
      <c r="T63" s="10">
        <f t="shared" si="13"/>
        <v>-5.458333333333333</v>
      </c>
      <c r="U63" s="10">
        <f t="shared" si="14"/>
        <v>0.78232922687590856</v>
      </c>
      <c r="V63" s="11">
        <f t="shared" ca="1" si="17"/>
        <v>0</v>
      </c>
      <c r="W63" s="11">
        <f t="shared" ca="1" si="18"/>
        <v>0</v>
      </c>
      <c r="X63" s="355">
        <f t="shared" si="11"/>
        <v>5</v>
      </c>
      <c r="Z63" s="284"/>
      <c r="AA63" s="285"/>
      <c r="AB63" s="338"/>
      <c r="AC63" s="339"/>
      <c r="AD63" s="279"/>
      <c r="AE63" s="287"/>
      <c r="AF63" s="287"/>
    </row>
    <row r="64" spans="1:32" ht="13" x14ac:dyDescent="0.3">
      <c r="A64"/>
      <c r="B64"/>
      <c r="C64"/>
      <c r="D64"/>
      <c r="E64" s="322"/>
      <c r="F64" s="8">
        <f t="shared" si="6"/>
        <v>57</v>
      </c>
      <c r="G64" s="335">
        <f>'4050 Mortality'!C62</f>
        <v>2E-3</v>
      </c>
      <c r="H64" s="10">
        <f t="shared" si="7"/>
        <v>0.998</v>
      </c>
      <c r="I64" s="243">
        <f t="shared" si="15"/>
        <v>0.99916618004177449</v>
      </c>
      <c r="J64" s="328"/>
      <c r="K64" s="10">
        <f t="shared" si="19"/>
        <v>0.99221574235091747</v>
      </c>
      <c r="L64" s="256" cm="1">
        <f t="array" ref="L64">IF($F64&lt;K$1,"",INDEX('4044 Yield Curves'!$C$7:$C$66,MIN(60,2*($F64-K$1+0.5)),0))</f>
        <v>4.8399999999999999E-2</v>
      </c>
      <c r="M64" s="10">
        <f t="shared" si="12"/>
        <v>-7.458333333333333</v>
      </c>
      <c r="N64" s="10">
        <f t="shared" si="20"/>
        <v>0.70291482032222374</v>
      </c>
      <c r="O64" s="11">
        <f t="shared" ca="1" si="1"/>
        <v>0</v>
      </c>
      <c r="P64" s="11">
        <f t="shared" ca="1" si="2"/>
        <v>0</v>
      </c>
      <c r="Q64" s="355">
        <f t="shared" si="16"/>
        <v>7</v>
      </c>
      <c r="R64" s="10">
        <f t="shared" si="21"/>
        <v>0.9929604626979408</v>
      </c>
      <c r="S64" s="256" cm="1">
        <f t="array" ref="S64">IF($F64&lt;R$1,"",INDEX('4044 Yield Curves'!$C$7:$C$66,MIN(60,2*($F64-R$1+0.5)),0))</f>
        <v>4.7199999999999999E-2</v>
      </c>
      <c r="T64" s="10">
        <f t="shared" si="13"/>
        <v>-6.458333333333333</v>
      </c>
      <c r="U64" s="10">
        <f t="shared" si="14"/>
        <v>0.74240681526769903</v>
      </c>
      <c r="V64" s="11">
        <f t="shared" ca="1" si="17"/>
        <v>0</v>
      </c>
      <c r="W64" s="11">
        <f t="shared" ca="1" si="18"/>
        <v>0</v>
      </c>
      <c r="X64" s="355">
        <f t="shared" si="11"/>
        <v>6</v>
      </c>
      <c r="Z64" s="284"/>
      <c r="AA64" s="285"/>
      <c r="AB64" s="338"/>
      <c r="AC64" s="339"/>
      <c r="AD64" s="279"/>
      <c r="AE64" s="287"/>
      <c r="AF64" s="287"/>
    </row>
    <row r="65" spans="1:37" ht="13" x14ac:dyDescent="0.3">
      <c r="A65"/>
      <c r="B65"/>
      <c r="C65"/>
      <c r="D65"/>
      <c r="E65" s="322"/>
      <c r="F65" s="8">
        <f t="shared" si="6"/>
        <v>58</v>
      </c>
      <c r="G65" s="335">
        <f>'4050 Mortality'!C63</f>
        <v>2.32E-3</v>
      </c>
      <c r="H65" s="10">
        <f t="shared" si="7"/>
        <v>0.99768000000000001</v>
      </c>
      <c r="I65" s="243">
        <f t="shared" si="15"/>
        <v>0.99903267842009746</v>
      </c>
      <c r="J65" s="328"/>
      <c r="K65" s="10">
        <f t="shared" si="19"/>
        <v>0.99023131086621563</v>
      </c>
      <c r="L65" s="256" cm="1">
        <f t="array" ref="L65">IF($F65&lt;K$1,"",INDEX('4044 Yield Curves'!$C$7:$C$66,MIN(60,2*($F65-K$1+0.5)),0))</f>
        <v>4.9500000000000002E-2</v>
      </c>
      <c r="M65" s="10">
        <f t="shared" si="12"/>
        <v>-8.4583333333333339</v>
      </c>
      <c r="N65" s="10">
        <f t="shared" si="20"/>
        <v>0.66454363647160042</v>
      </c>
      <c r="O65" s="11">
        <f t="shared" ca="1" si="1"/>
        <v>0</v>
      </c>
      <c r="P65" s="11">
        <f t="shared" ca="1" si="2"/>
        <v>0</v>
      </c>
      <c r="Q65" s="355">
        <f t="shared" si="16"/>
        <v>8</v>
      </c>
      <c r="R65" s="10">
        <f t="shared" si="21"/>
        <v>0.99097454177254496</v>
      </c>
      <c r="S65" s="256" cm="1">
        <f t="array" ref="S65">IF($F65&lt;R$1,"",INDEX('4044 Yield Curves'!$C$7:$C$66,MIN(60,2*($F65-R$1+0.5)),0))</f>
        <v>4.8399999999999999E-2</v>
      </c>
      <c r="T65" s="10">
        <f t="shared" si="13"/>
        <v>-7.458333333333333</v>
      </c>
      <c r="U65" s="10">
        <f t="shared" si="14"/>
        <v>0.70291482032222374</v>
      </c>
      <c r="V65" s="11">
        <f t="shared" ca="1" si="17"/>
        <v>0</v>
      </c>
      <c r="W65" s="11">
        <f t="shared" ca="1" si="18"/>
        <v>0</v>
      </c>
      <c r="X65" s="355">
        <f t="shared" si="11"/>
        <v>7</v>
      </c>
      <c r="Z65" s="284"/>
      <c r="AA65" s="285"/>
      <c r="AB65" s="338"/>
      <c r="AC65" s="339"/>
      <c r="AD65" s="279"/>
      <c r="AE65" s="287"/>
      <c r="AF65" s="287"/>
    </row>
    <row r="66" spans="1:37" ht="13" x14ac:dyDescent="0.3">
      <c r="A66"/>
      <c r="B66"/>
      <c r="C66"/>
      <c r="D66"/>
      <c r="E66" s="322"/>
      <c r="F66" s="8">
        <f t="shared" si="6"/>
        <v>59</v>
      </c>
      <c r="G66" s="335">
        <f>'4050 Mortality'!C64</f>
        <v>2.6900000000000001E-3</v>
      </c>
      <c r="H66" s="10">
        <f t="shared" si="7"/>
        <v>0.99731000000000003</v>
      </c>
      <c r="I66" s="243">
        <f t="shared" si="15"/>
        <v>0.9988782860288552</v>
      </c>
      <c r="J66" s="328"/>
      <c r="K66" s="10">
        <f t="shared" si="19"/>
        <v>0.98793397422500606</v>
      </c>
      <c r="L66" s="256" cm="1">
        <f t="array" ref="L66">IF($F66&lt;K$1,"",INDEX('4044 Yield Curves'!$C$7:$C$66,MIN(60,2*($F66-K$1+0.5)),0))</f>
        <v>5.0500000000000003E-2</v>
      </c>
      <c r="M66" s="10">
        <f t="shared" si="12"/>
        <v>-9.4583333333333339</v>
      </c>
      <c r="N66" s="10">
        <f t="shared" si="20"/>
        <v>0.62752201035812161</v>
      </c>
      <c r="O66" s="11">
        <f t="shared" ca="1" si="1"/>
        <v>0</v>
      </c>
      <c r="P66" s="11">
        <f t="shared" ca="1" si="2"/>
        <v>0</v>
      </c>
      <c r="Q66" s="355">
        <f t="shared" si="16"/>
        <v>9</v>
      </c>
      <c r="R66" s="10">
        <f t="shared" si="21"/>
        <v>0.98867548083563261</v>
      </c>
      <c r="S66" s="256" cm="1">
        <f t="array" ref="S66">IF($F66&lt;R$1,"",INDEX('4044 Yield Curves'!$C$7:$C$66,MIN(60,2*($F66-R$1+0.5)),0))</f>
        <v>4.9500000000000002E-2</v>
      </c>
      <c r="T66" s="10">
        <f t="shared" si="13"/>
        <v>-8.4583333333333339</v>
      </c>
      <c r="U66" s="10">
        <f t="shared" si="14"/>
        <v>0.66454363647160042</v>
      </c>
      <c r="V66" s="11">
        <f t="shared" ca="1" si="17"/>
        <v>0</v>
      </c>
      <c r="W66" s="11">
        <f t="shared" ca="1" si="18"/>
        <v>0</v>
      </c>
      <c r="X66" s="355">
        <f t="shared" si="11"/>
        <v>8</v>
      </c>
      <c r="Z66" s="284"/>
      <c r="AA66" s="285"/>
      <c r="AB66" s="338"/>
      <c r="AC66" s="339"/>
      <c r="AD66" s="279"/>
      <c r="AE66" s="287"/>
      <c r="AF66" s="287"/>
    </row>
    <row r="67" spans="1:37" ht="13" x14ac:dyDescent="0.3">
      <c r="A67"/>
      <c r="B67"/>
      <c r="C67"/>
      <c r="D67"/>
      <c r="E67" s="322"/>
      <c r="F67" s="8">
        <f t="shared" si="6"/>
        <v>60</v>
      </c>
      <c r="G67" s="335">
        <f>'4050 Mortality'!C65</f>
        <v>3.13E-3</v>
      </c>
      <c r="H67" s="10">
        <f t="shared" si="7"/>
        <v>0.99687000000000003</v>
      </c>
      <c r="I67" s="243">
        <f t="shared" si="15"/>
        <v>0.99869464076706493</v>
      </c>
      <c r="J67" s="328"/>
      <c r="K67" s="10">
        <f t="shared" si="19"/>
        <v>0.98527643183434077</v>
      </c>
      <c r="L67" s="256" cm="1">
        <f t="array" ref="L67">IF($F67&lt;K$1,"",INDEX('4044 Yield Curves'!$C$7:$C$66,MIN(60,2*($F67-K$1+0.5)),0))</f>
        <v>5.1400000000000001E-2</v>
      </c>
      <c r="M67" s="10">
        <f t="shared" si="12"/>
        <v>-10.458333333333334</v>
      </c>
      <c r="N67" s="10">
        <f t="shared" si="20"/>
        <v>0.59202941568513712</v>
      </c>
      <c r="O67" s="11">
        <f t="shared" ca="1" si="1"/>
        <v>0</v>
      </c>
      <c r="P67" s="11">
        <f t="shared" ca="1" si="2"/>
        <v>0</v>
      </c>
      <c r="Q67" s="355">
        <f t="shared" si="16"/>
        <v>10</v>
      </c>
      <c r="R67" s="10">
        <f t="shared" si="21"/>
        <v>0.98601594379218482</v>
      </c>
      <c r="S67" s="256" cm="1">
        <f t="array" ref="S67">IF($F67&lt;R$1,"",INDEX('4044 Yield Curves'!$C$7:$C$66,MIN(60,2*($F67-R$1+0.5)),0))</f>
        <v>5.0500000000000003E-2</v>
      </c>
      <c r="T67" s="10">
        <f t="shared" si="13"/>
        <v>-9.4583333333333339</v>
      </c>
      <c r="U67" s="10">
        <f t="shared" si="14"/>
        <v>0.62752201035812161</v>
      </c>
      <c r="V67" s="11">
        <f t="shared" ca="1" si="17"/>
        <v>0</v>
      </c>
      <c r="W67" s="11">
        <f t="shared" ca="1" si="18"/>
        <v>0</v>
      </c>
      <c r="X67" s="355">
        <f t="shared" si="11"/>
        <v>9</v>
      </c>
      <c r="Z67" s="284"/>
      <c r="AA67" s="285"/>
      <c r="AB67" s="338"/>
      <c r="AC67" s="339"/>
      <c r="AD67" s="279"/>
      <c r="AE67" s="287"/>
      <c r="AF67" s="287"/>
      <c r="AJ67" s="279"/>
    </row>
    <row r="68" spans="1:37" ht="13" x14ac:dyDescent="0.3">
      <c r="A68"/>
      <c r="B68"/>
      <c r="C68"/>
      <c r="D68"/>
      <c r="E68" s="322"/>
      <c r="F68" s="8">
        <f t="shared" si="6"/>
        <v>61</v>
      </c>
      <c r="G68" s="335">
        <f>'4050 Mortality'!C66</f>
        <v>3.5999999999999999E-3</v>
      </c>
      <c r="H68" s="10">
        <f t="shared" si="7"/>
        <v>0.99639999999999995</v>
      </c>
      <c r="I68" s="243">
        <f t="shared" si="15"/>
        <v>0.99849842200052441</v>
      </c>
      <c r="J68" s="328"/>
      <c r="K68" s="10">
        <f t="shared" si="19"/>
        <v>0.98219251660269935</v>
      </c>
      <c r="L68" s="256" cm="1">
        <f t="array" ref="L68">IF($F68&lt;K$1,"",INDEX('4044 Yield Curves'!$C$7:$C$66,MIN(60,2*($F68-K$1+0.5)),0))</f>
        <v>5.2200000000000003E-2</v>
      </c>
      <c r="M68" s="10">
        <f t="shared" si="12"/>
        <v>-11.458333333333334</v>
      </c>
      <c r="N68" s="10">
        <f t="shared" si="20"/>
        <v>0.55820065478320102</v>
      </c>
      <c r="O68" s="11">
        <f t="shared" ca="1" si="1"/>
        <v>0</v>
      </c>
      <c r="P68" s="11">
        <f t="shared" ca="1" si="2"/>
        <v>0</v>
      </c>
      <c r="Q68" s="355">
        <f t="shared" si="16"/>
        <v>11</v>
      </c>
      <c r="R68" s="10">
        <f t="shared" si="21"/>
        <v>0.98292971388811534</v>
      </c>
      <c r="S68" s="256" cm="1">
        <f t="array" ref="S68">IF($F68&lt;R$1,"",INDEX('4044 Yield Curves'!$C$7:$C$66,MIN(60,2*($F68-R$1+0.5)),0))</f>
        <v>5.1400000000000001E-2</v>
      </c>
      <c r="T68" s="10">
        <f t="shared" si="13"/>
        <v>-10.458333333333334</v>
      </c>
      <c r="U68" s="10">
        <f t="shared" si="14"/>
        <v>0.59202941568513712</v>
      </c>
      <c r="V68" s="11">
        <f t="shared" ca="1" si="17"/>
        <v>0</v>
      </c>
      <c r="W68" s="11">
        <f t="shared" ca="1" si="18"/>
        <v>0</v>
      </c>
      <c r="X68" s="355">
        <f t="shared" si="11"/>
        <v>10</v>
      </c>
      <c r="Z68" s="284"/>
      <c r="AA68" s="285"/>
      <c r="AB68" s="338"/>
      <c r="AC68" s="339"/>
      <c r="AD68" s="279"/>
      <c r="AE68" s="287"/>
      <c r="AF68" s="287"/>
      <c r="AI68" s="294"/>
      <c r="AJ68" s="279"/>
    </row>
    <row r="69" spans="1:37" ht="13" x14ac:dyDescent="0.3">
      <c r="A69"/>
      <c r="B69"/>
      <c r="C69"/>
      <c r="D69"/>
      <c r="E69" s="322"/>
      <c r="F69" s="8">
        <f t="shared" si="6"/>
        <v>62</v>
      </c>
      <c r="G69" s="335">
        <f>'4050 Mortality'!C67</f>
        <v>4.28E-3</v>
      </c>
      <c r="H69" s="10">
        <f t="shared" si="7"/>
        <v>0.99572000000000005</v>
      </c>
      <c r="I69" s="243">
        <f t="shared" si="15"/>
        <v>0.99821443542955335</v>
      </c>
      <c r="J69" s="328"/>
      <c r="K69" s="10">
        <f t="shared" si="19"/>
        <v>0.97865662354292959</v>
      </c>
      <c r="L69" s="256" cm="1">
        <f t="array" ref="L69">IF($F69&lt;K$1,"",INDEX('4044 Yield Curves'!$C$7:$C$66,MIN(60,2*($F69-K$1+0.5)),0))</f>
        <v>5.2999999999999999E-2</v>
      </c>
      <c r="M69" s="10">
        <f t="shared" si="12"/>
        <v>-12.458333333333334</v>
      </c>
      <c r="N69" s="10">
        <f t="shared" si="20"/>
        <v>0.52550865802459823</v>
      </c>
      <c r="O69" s="11">
        <f t="shared" ca="1" si="1"/>
        <v>1</v>
      </c>
      <c r="P69" s="11">
        <f t="shared" ca="1" si="2"/>
        <v>0</v>
      </c>
      <c r="Q69" s="355">
        <f t="shared" si="16"/>
        <v>12</v>
      </c>
      <c r="R69" s="10">
        <f t="shared" si="21"/>
        <v>0.97939116691811812</v>
      </c>
      <c r="S69" s="256" cm="1">
        <f t="array" ref="S69">IF($F69&lt;R$1,"",INDEX('4044 Yield Curves'!$C$7:$C$66,MIN(60,2*($F69-R$1+0.5)),0))</f>
        <v>5.2200000000000003E-2</v>
      </c>
      <c r="T69" s="10">
        <f t="shared" si="13"/>
        <v>-11.458333333333334</v>
      </c>
      <c r="U69" s="10">
        <f t="shared" si="14"/>
        <v>0.55820065478320102</v>
      </c>
      <c r="V69" s="11">
        <f t="shared" ca="1" si="17"/>
        <v>1</v>
      </c>
      <c r="W69" s="11">
        <f t="shared" ca="1" si="18"/>
        <v>0</v>
      </c>
      <c r="X69" s="355">
        <f t="shared" si="11"/>
        <v>11</v>
      </c>
      <c r="Z69" s="284"/>
      <c r="AA69" s="285"/>
      <c r="AB69" s="338"/>
      <c r="AC69" s="339"/>
      <c r="AD69" s="279"/>
      <c r="AE69" s="287"/>
      <c r="AF69" s="287"/>
      <c r="AI69" s="294"/>
      <c r="AJ69" s="279"/>
      <c r="AK69" s="295"/>
    </row>
    <row r="70" spans="1:37" ht="13" x14ac:dyDescent="0.3">
      <c r="A70"/>
      <c r="B70"/>
      <c r="C70"/>
      <c r="D70"/>
      <c r="E70" s="322"/>
      <c r="F70" s="8">
        <f t="shared" si="6"/>
        <v>63</v>
      </c>
      <c r="G70" s="335">
        <f>'4050 Mortality'!C68</f>
        <v>5.0000000000000001E-3</v>
      </c>
      <c r="H70" s="10">
        <f t="shared" si="7"/>
        <v>0.995</v>
      </c>
      <c r="I70" s="243">
        <f t="shared" si="15"/>
        <v>0.99791362042878184</v>
      </c>
      <c r="J70" s="328"/>
      <c r="K70" s="10">
        <f t="shared" si="19"/>
        <v>0.97446797319416589</v>
      </c>
      <c r="L70" s="256" cm="1">
        <f t="array" ref="L70">IF($F70&lt;K$1,"",INDEX('4044 Yield Curves'!$C$7:$C$66,MIN(60,2*($F70-K$1+0.5)),0))</f>
        <v>5.3800000000000001E-2</v>
      </c>
      <c r="M70" s="10">
        <f t="shared" si="12"/>
        <v>-13.458333333333334</v>
      </c>
      <c r="N70" s="10">
        <f t="shared" si="20"/>
        <v>0.49398371952893788</v>
      </c>
      <c r="O70" s="11">
        <f t="shared" ca="1" si="1"/>
        <v>1</v>
      </c>
      <c r="P70" s="11">
        <f t="shared" ca="1" si="2"/>
        <v>1</v>
      </c>
      <c r="Q70" s="355">
        <f t="shared" si="16"/>
        <v>13</v>
      </c>
      <c r="R70" s="10">
        <f t="shared" si="21"/>
        <v>0.9751993727237086</v>
      </c>
      <c r="S70" s="256" cm="1">
        <f t="array" ref="S70">IF($F70&lt;R$1,"",INDEX('4044 Yield Curves'!$C$7:$C$66,MIN(60,2*($F70-R$1+0.5)),0))</f>
        <v>5.2999999999999999E-2</v>
      </c>
      <c r="T70" s="10">
        <f t="shared" si="13"/>
        <v>-12.458333333333334</v>
      </c>
      <c r="U70" s="10">
        <f t="shared" si="14"/>
        <v>0.52550865802459823</v>
      </c>
      <c r="V70" s="11">
        <f t="shared" ca="1" si="17"/>
        <v>1</v>
      </c>
      <c r="W70" s="11">
        <f t="shared" ca="1" si="18"/>
        <v>1</v>
      </c>
      <c r="X70" s="355">
        <f t="shared" si="11"/>
        <v>12</v>
      </c>
      <c r="Z70" s="284"/>
      <c r="AA70" s="285"/>
      <c r="AB70" s="338"/>
      <c r="AC70" s="339"/>
      <c r="AD70" s="279"/>
      <c r="AE70" s="287"/>
      <c r="AF70" s="287"/>
      <c r="AI70" s="294"/>
      <c r="AJ70" s="279"/>
    </row>
    <row r="71" spans="1:37" ht="13" x14ac:dyDescent="0.3">
      <c r="A71"/>
      <c r="B71"/>
      <c r="C71"/>
      <c r="D71"/>
      <c r="E71" s="322"/>
      <c r="F71" s="8">
        <f t="shared" si="6"/>
        <v>64</v>
      </c>
      <c r="G71" s="335">
        <f>'4050 Mortality'!C69</f>
        <v>5.62E-3</v>
      </c>
      <c r="H71" s="10">
        <f t="shared" si="7"/>
        <v>0.99438000000000004</v>
      </c>
      <c r="I71" s="243">
        <f t="shared" ref="I71:I102" si="22">H71^(5/12)</f>
        <v>0.99765448352483133</v>
      </c>
      <c r="J71" s="328"/>
      <c r="K71" s="10">
        <f t="shared" si="19"/>
        <v>0.96959563332819509</v>
      </c>
      <c r="L71" s="256" cm="1">
        <f t="array" ref="L71">IF($F71&lt;K$1,"",INDEX('4044 Yield Curves'!$C$7:$C$66,MIN(60,2*($F71-K$1+0.5)),0))</f>
        <v>5.4300000000000001E-2</v>
      </c>
      <c r="M71" s="10">
        <f t="shared" si="12"/>
        <v>-14.458333333333334</v>
      </c>
      <c r="N71" s="10">
        <f t="shared" si="20"/>
        <v>0.46556020143882654</v>
      </c>
      <c r="O71" s="11">
        <f t="shared" ref="O71:O127" ca="1" si="23">IF($F71&gt;=$O$5,1,0)</f>
        <v>1</v>
      </c>
      <c r="P71" s="11">
        <f t="shared" ref="P71:P127" ca="1" si="24">IF($F71&gt;=$P$6,1,0)</f>
        <v>1</v>
      </c>
      <c r="Q71" s="355">
        <f t="shared" ref="Q71:Q102" si="25">MAX(0, $F71-$K$1)</f>
        <v>14</v>
      </c>
      <c r="R71" s="10">
        <f t="shared" si="21"/>
        <v>0.9703233758600901</v>
      </c>
      <c r="S71" s="256" cm="1">
        <f t="array" ref="S71">IF($F71&lt;R$1,"",INDEX('4044 Yield Curves'!$C$7:$C$66,MIN(60,2*($F71-R$1+0.5)),0))</f>
        <v>5.3800000000000001E-2</v>
      </c>
      <c r="T71" s="10">
        <f t="shared" si="13"/>
        <v>-13.458333333333334</v>
      </c>
      <c r="U71" s="10">
        <f t="shared" si="14"/>
        <v>0.49398371952893788</v>
      </c>
      <c r="V71" s="11">
        <f t="shared" ref="V71:V102" ca="1" si="26">IF($F71&gt;=$V$5,1,0)</f>
        <v>1</v>
      </c>
      <c r="W71" s="11">
        <f t="shared" ref="W71:W102" ca="1" si="27">IF($F71&gt;=$W$6,1,0)</f>
        <v>1</v>
      </c>
      <c r="X71" s="355">
        <f t="shared" si="11"/>
        <v>13</v>
      </c>
      <c r="Z71" s="284"/>
      <c r="AA71" s="285"/>
      <c r="AB71" s="338"/>
      <c r="AC71" s="339"/>
      <c r="AD71" s="279"/>
      <c r="AE71" s="287"/>
      <c r="AF71" s="287"/>
      <c r="AI71" s="294"/>
      <c r="AJ71" s="279"/>
    </row>
    <row r="72" spans="1:37" ht="13" x14ac:dyDescent="0.3">
      <c r="A72"/>
      <c r="B72"/>
      <c r="C72"/>
      <c r="D72"/>
      <c r="E72" s="322"/>
      <c r="F72" s="8">
        <f t="shared" ref="F72:F127" si="28">F71+1</f>
        <v>65</v>
      </c>
      <c r="G72" s="335">
        <f>'4050 Mortality'!C70</f>
        <v>6.4099999999999999E-3</v>
      </c>
      <c r="H72" s="10">
        <f t="shared" ref="H72:H127" si="29">1-G72</f>
        <v>0.99358999999999997</v>
      </c>
      <c r="I72" s="243">
        <f t="shared" si="22"/>
        <v>0.99732415635815996</v>
      </c>
      <c r="J72" s="328"/>
      <c r="K72" s="10">
        <f t="shared" ref="K72:K103" si="30">IF($F71&lt;$A$9,1,K71*$H71)</f>
        <v>0.96414650586889072</v>
      </c>
      <c r="L72" s="256" cm="1">
        <f t="array" ref="L72">IF($F72&lt;K$1,"",INDEX('4044 Yield Curves'!$C$7:$C$66,MIN(60,2*($F72-K$1+0.5)),0))</f>
        <v>5.5E-2</v>
      </c>
      <c r="M72" s="10">
        <f t="shared" si="12"/>
        <v>-15.458333333333334</v>
      </c>
      <c r="N72" s="10">
        <f t="shared" ref="N72:N103" si="31">IF($F72&lt;K$1,1,(1+L72)^M72)</f>
        <v>0.43707476039670068</v>
      </c>
      <c r="O72" s="11">
        <f t="shared" ca="1" si="23"/>
        <v>1</v>
      </c>
      <c r="P72" s="11">
        <f t="shared" ca="1" si="24"/>
        <v>1</v>
      </c>
      <c r="Q72" s="355">
        <f t="shared" si="25"/>
        <v>15</v>
      </c>
      <c r="R72" s="10">
        <f t="shared" ref="R72:R103" si="32">IF($F71&lt;$A$11,1,R71*$H71)</f>
        <v>0.96487015848775648</v>
      </c>
      <c r="S72" s="256" cm="1">
        <f t="array" ref="S72">IF($F72&lt;R$1,"",INDEX('4044 Yield Curves'!$C$7:$C$66,MIN(60,2*($F72-R$1+0.5)),0))</f>
        <v>5.4300000000000001E-2</v>
      </c>
      <c r="T72" s="10">
        <f t="shared" si="13"/>
        <v>-14.458333333333334</v>
      </c>
      <c r="U72" s="10">
        <f t="shared" si="14"/>
        <v>0.46556020143882654</v>
      </c>
      <c r="V72" s="11">
        <f t="shared" ca="1" si="26"/>
        <v>1</v>
      </c>
      <c r="W72" s="11">
        <f t="shared" ca="1" si="27"/>
        <v>1</v>
      </c>
      <c r="X72" s="355">
        <f t="shared" ref="X72:X127" si="33">MAX(0, $F72-$R$1)</f>
        <v>14</v>
      </c>
      <c r="Z72" s="284"/>
      <c r="AA72" s="285"/>
      <c r="AB72" s="338"/>
      <c r="AC72" s="339"/>
      <c r="AD72" s="279"/>
      <c r="AE72" s="287"/>
      <c r="AF72" s="287"/>
      <c r="AI72" s="294"/>
      <c r="AJ72" s="279"/>
    </row>
    <row r="73" spans="1:37" ht="13" x14ac:dyDescent="0.3">
      <c r="A73"/>
      <c r="B73"/>
      <c r="C73"/>
      <c r="D73"/>
      <c r="E73" s="322"/>
      <c r="F73" s="8">
        <f t="shared" si="28"/>
        <v>66</v>
      </c>
      <c r="G73" s="335">
        <f>'4050 Mortality'!C71</f>
        <v>7.2899999999999996E-3</v>
      </c>
      <c r="H73" s="10">
        <f t="shared" si="29"/>
        <v>0.99270999999999998</v>
      </c>
      <c r="I73" s="243">
        <f t="shared" si="22"/>
        <v>0.99695601654899946</v>
      </c>
      <c r="J73" s="328"/>
      <c r="K73" s="10">
        <f t="shared" si="30"/>
        <v>0.95796632676627114</v>
      </c>
      <c r="L73" s="256" cm="1">
        <f t="array" ref="L73">IF($F73&lt;K$1,"",INDEX('4044 Yield Curves'!$C$7:$C$66,MIN(60,2*($F73-K$1+0.5)),0))</f>
        <v>5.5499999999999994E-2</v>
      </c>
      <c r="M73" s="10">
        <f t="shared" ref="M73:M127" si="34">IF($F73&lt;K$1,"",(K$1-$F73-11/24))</f>
        <v>-16.458333333333332</v>
      </c>
      <c r="N73" s="10">
        <f t="shared" si="31"/>
        <v>0.41107068380710249</v>
      </c>
      <c r="O73" s="11">
        <f t="shared" ca="1" si="23"/>
        <v>1</v>
      </c>
      <c r="P73" s="11">
        <f t="shared" ca="1" si="24"/>
        <v>1</v>
      </c>
      <c r="Q73" s="355">
        <f t="shared" si="25"/>
        <v>16</v>
      </c>
      <c r="R73" s="10">
        <f t="shared" si="32"/>
        <v>0.95868534077184997</v>
      </c>
      <c r="S73" s="256" cm="1">
        <f t="array" ref="S73">IF($F73&lt;R$1,"",INDEX('4044 Yield Curves'!$C$7:$C$66,MIN(60,2*($F73-R$1+0.5)),0))</f>
        <v>5.5E-2</v>
      </c>
      <c r="T73" s="10">
        <f t="shared" ref="T73:T127" si="35">IF($F73&lt;R$1,"",(R$1-$F73-11/24))</f>
        <v>-15.458333333333334</v>
      </c>
      <c r="U73" s="10">
        <f t="shared" ref="U73:U127" si="36">IF($F73&lt;R$1,1,(1+S73)^T73)</f>
        <v>0.43707476039670068</v>
      </c>
      <c r="V73" s="11">
        <f t="shared" ca="1" si="26"/>
        <v>1</v>
      </c>
      <c r="W73" s="11">
        <f t="shared" ca="1" si="27"/>
        <v>1</v>
      </c>
      <c r="X73" s="355">
        <f t="shared" si="33"/>
        <v>15</v>
      </c>
      <c r="Z73" s="284"/>
      <c r="AA73" s="285"/>
      <c r="AB73" s="338"/>
      <c r="AC73" s="339"/>
      <c r="AD73" s="279"/>
      <c r="AE73" s="287"/>
      <c r="AF73" s="287"/>
      <c r="AI73" s="294"/>
      <c r="AJ73" s="279"/>
    </row>
    <row r="74" spans="1:37" ht="13" x14ac:dyDescent="0.3">
      <c r="A74"/>
      <c r="B74"/>
      <c r="C74"/>
      <c r="D74"/>
      <c r="E74" s="322"/>
      <c r="F74" s="8">
        <f t="shared" si="28"/>
        <v>67</v>
      </c>
      <c r="G74" s="335">
        <f>'4050 Mortality'!C72</f>
        <v>8.1300000000000001E-3</v>
      </c>
      <c r="H74" s="10">
        <f t="shared" si="29"/>
        <v>0.99187000000000003</v>
      </c>
      <c r="I74" s="243">
        <f t="shared" si="22"/>
        <v>0.99660443274200483</v>
      </c>
      <c r="J74" s="328"/>
      <c r="K74" s="10">
        <f t="shared" si="30"/>
        <v>0.95098275224414497</v>
      </c>
      <c r="L74" s="256" cm="1">
        <f t="array" ref="L74">IF($F74&lt;K$1,"",INDEX('4044 Yield Curves'!$C$7:$C$66,MIN(60,2*($F74-K$1+0.5)),0))</f>
        <v>5.5900000000000005E-2</v>
      </c>
      <c r="M74" s="10">
        <f t="shared" si="34"/>
        <v>-17.458333333333332</v>
      </c>
      <c r="N74" s="10">
        <f t="shared" si="31"/>
        <v>0.38688817860758634</v>
      </c>
      <c r="O74" s="11">
        <f t="shared" ca="1" si="23"/>
        <v>1</v>
      </c>
      <c r="P74" s="11">
        <f t="shared" ca="1" si="24"/>
        <v>1</v>
      </c>
      <c r="Q74" s="355">
        <f t="shared" si="25"/>
        <v>17</v>
      </c>
      <c r="R74" s="10">
        <f t="shared" si="32"/>
        <v>0.95169652463762322</v>
      </c>
      <c r="S74" s="256" cm="1">
        <f t="array" ref="S74">IF($F74&lt;R$1,"",INDEX('4044 Yield Curves'!$C$7:$C$66,MIN(60,2*($F74-R$1+0.5)),0))</f>
        <v>5.5499999999999994E-2</v>
      </c>
      <c r="T74" s="10">
        <f t="shared" si="35"/>
        <v>-16.458333333333332</v>
      </c>
      <c r="U74" s="10">
        <f t="shared" si="36"/>
        <v>0.41107068380710249</v>
      </c>
      <c r="V74" s="11">
        <f t="shared" ca="1" si="26"/>
        <v>1</v>
      </c>
      <c r="W74" s="11">
        <f t="shared" ca="1" si="27"/>
        <v>1</v>
      </c>
      <c r="X74" s="355">
        <f t="shared" si="33"/>
        <v>16</v>
      </c>
      <c r="Z74" s="284"/>
      <c r="AA74" s="285"/>
      <c r="AB74" s="338"/>
      <c r="AC74" s="339"/>
      <c r="AD74" s="279"/>
      <c r="AE74" s="287"/>
      <c r="AF74" s="287"/>
      <c r="AI74" s="294"/>
      <c r="AJ74" s="279"/>
    </row>
    <row r="75" spans="1:37" ht="13" x14ac:dyDescent="0.3">
      <c r="A75"/>
      <c r="B75"/>
      <c r="C75"/>
      <c r="D75"/>
      <c r="E75" s="322"/>
      <c r="F75" s="8">
        <f t="shared" si="28"/>
        <v>68</v>
      </c>
      <c r="G75" s="335">
        <f>'4050 Mortality'!C73</f>
        <v>9.0399999999999994E-3</v>
      </c>
      <c r="H75" s="10">
        <f t="shared" si="29"/>
        <v>0.99095999999999995</v>
      </c>
      <c r="I75" s="243">
        <f t="shared" si="22"/>
        <v>0.9962233542264155</v>
      </c>
      <c r="J75" s="328"/>
      <c r="K75" s="10">
        <f t="shared" si="30"/>
        <v>0.94325126246840008</v>
      </c>
      <c r="L75" s="256" cm="1">
        <f t="array" ref="L75">IF($F75&lt;K$1,"",INDEX('4044 Yield Curves'!$C$7:$C$66,MIN(60,2*($F75-K$1+0.5)),0))</f>
        <v>5.6300000000000003E-2</v>
      </c>
      <c r="M75" s="10">
        <f t="shared" si="34"/>
        <v>-18.458333333333332</v>
      </c>
      <c r="N75" s="10">
        <f t="shared" si="31"/>
        <v>0.36385341930136994</v>
      </c>
      <c r="O75" s="11">
        <f t="shared" ca="1" si="23"/>
        <v>1</v>
      </c>
      <c r="P75" s="11">
        <f t="shared" ca="1" si="24"/>
        <v>1</v>
      </c>
      <c r="Q75" s="355">
        <f t="shared" si="25"/>
        <v>18</v>
      </c>
      <c r="R75" s="10">
        <f t="shared" si="32"/>
        <v>0.94395923189231934</v>
      </c>
      <c r="S75" s="256" cm="1">
        <f t="array" ref="S75">IF($F75&lt;R$1,"",INDEX('4044 Yield Curves'!$C$7:$C$66,MIN(60,2*($F75-R$1+0.5)),0))</f>
        <v>5.5900000000000005E-2</v>
      </c>
      <c r="T75" s="10">
        <f t="shared" si="35"/>
        <v>-17.458333333333332</v>
      </c>
      <c r="U75" s="10">
        <f t="shared" si="36"/>
        <v>0.38688817860758634</v>
      </c>
      <c r="V75" s="11">
        <f t="shared" ca="1" si="26"/>
        <v>1</v>
      </c>
      <c r="W75" s="11">
        <f t="shared" ca="1" si="27"/>
        <v>1</v>
      </c>
      <c r="X75" s="355">
        <f t="shared" si="33"/>
        <v>17</v>
      </c>
      <c r="Z75" s="284"/>
      <c r="AA75" s="285"/>
      <c r="AB75" s="338"/>
      <c r="AC75" s="339"/>
      <c r="AD75" s="279"/>
      <c r="AE75" s="287"/>
      <c r="AF75" s="287"/>
      <c r="AI75" s="294"/>
      <c r="AJ75" s="279"/>
    </row>
    <row r="76" spans="1:37" ht="13" x14ac:dyDescent="0.3">
      <c r="A76"/>
      <c r="B76"/>
      <c r="C76"/>
      <c r="D76"/>
      <c r="E76" s="322"/>
      <c r="F76" s="8">
        <f t="shared" si="28"/>
        <v>69</v>
      </c>
      <c r="G76" s="335">
        <f>'4050 Mortality'!C74</f>
        <v>1.008E-2</v>
      </c>
      <c r="H76" s="10">
        <f t="shared" si="29"/>
        <v>0.98992000000000002</v>
      </c>
      <c r="I76" s="243">
        <f t="shared" si="22"/>
        <v>0.99578758587787597</v>
      </c>
      <c r="J76" s="328"/>
      <c r="K76" s="10">
        <f t="shared" si="30"/>
        <v>0.93472427105568567</v>
      </c>
      <c r="L76" s="256" cm="1">
        <f t="array" ref="L76">IF($F76&lt;K$1,"",INDEX('4044 Yield Curves'!$C$7:$C$66,MIN(60,2*($F76-K$1+0.5)),0))</f>
        <v>5.6599999999999998E-2</v>
      </c>
      <c r="M76" s="10">
        <f t="shared" si="34"/>
        <v>-19.458333333333332</v>
      </c>
      <c r="N76" s="10">
        <f t="shared" si="31"/>
        <v>0.34256220973359452</v>
      </c>
      <c r="O76" s="11">
        <f t="shared" ca="1" si="23"/>
        <v>1</v>
      </c>
      <c r="P76" s="11">
        <f t="shared" ca="1" si="24"/>
        <v>1</v>
      </c>
      <c r="Q76" s="355">
        <f t="shared" si="25"/>
        <v>19</v>
      </c>
      <c r="R76" s="10">
        <f t="shared" si="32"/>
        <v>0.93542584043601273</v>
      </c>
      <c r="S76" s="256" cm="1">
        <f t="array" ref="S76">IF($F76&lt;R$1,"",INDEX('4044 Yield Curves'!$C$7:$C$66,MIN(60,2*($F76-R$1+0.5)),0))</f>
        <v>5.6300000000000003E-2</v>
      </c>
      <c r="T76" s="10">
        <f t="shared" si="35"/>
        <v>-18.458333333333332</v>
      </c>
      <c r="U76" s="10">
        <f t="shared" si="36"/>
        <v>0.36385341930136994</v>
      </c>
      <c r="V76" s="11">
        <f t="shared" ca="1" si="26"/>
        <v>1</v>
      </c>
      <c r="W76" s="11">
        <f t="shared" ca="1" si="27"/>
        <v>1</v>
      </c>
      <c r="X76" s="355">
        <f t="shared" si="33"/>
        <v>18</v>
      </c>
      <c r="Z76" s="284"/>
      <c r="AA76" s="285"/>
      <c r="AB76" s="338"/>
      <c r="AC76" s="339"/>
      <c r="AD76" s="279"/>
      <c r="AE76" s="287"/>
      <c r="AF76" s="287"/>
      <c r="AI76" s="294"/>
      <c r="AJ76" s="279"/>
    </row>
    <row r="77" spans="1:37" ht="13" x14ac:dyDescent="0.3">
      <c r="A77"/>
      <c r="B77"/>
      <c r="C77"/>
      <c r="D77"/>
      <c r="E77" s="322"/>
      <c r="F77" s="8">
        <f t="shared" si="28"/>
        <v>70</v>
      </c>
      <c r="G77" s="335">
        <f>'4050 Mortality'!C75</f>
        <v>1.1270000000000001E-2</v>
      </c>
      <c r="H77" s="10">
        <f t="shared" si="29"/>
        <v>0.98873</v>
      </c>
      <c r="I77" s="243">
        <f t="shared" si="22"/>
        <v>0.99528863858570094</v>
      </c>
      <c r="J77" s="328"/>
      <c r="K77" s="10">
        <f t="shared" si="30"/>
        <v>0.92530225040344438</v>
      </c>
      <c r="L77" s="256" cm="1">
        <f t="array" ref="L77">IF($F77&lt;K$1,"",INDEX('4044 Yield Curves'!$C$7:$C$66,MIN(60,2*($F77-K$1+0.5)),0))</f>
        <v>5.6799999999999996E-2</v>
      </c>
      <c r="M77" s="10">
        <f t="shared" si="34"/>
        <v>-20.458333333333332</v>
      </c>
      <c r="N77" s="10">
        <f t="shared" si="31"/>
        <v>0.32295886175025501</v>
      </c>
      <c r="O77" s="11">
        <f t="shared" ca="1" si="23"/>
        <v>1</v>
      </c>
      <c r="P77" s="11">
        <f t="shared" ca="1" si="24"/>
        <v>1</v>
      </c>
      <c r="Q77" s="355">
        <f t="shared" si="25"/>
        <v>20</v>
      </c>
      <c r="R77" s="10">
        <f t="shared" si="32"/>
        <v>0.92599674796441778</v>
      </c>
      <c r="S77" s="256" cm="1">
        <f t="array" ref="S77">IF($F77&lt;R$1,"",INDEX('4044 Yield Curves'!$C$7:$C$66,MIN(60,2*($F77-R$1+0.5)),0))</f>
        <v>5.6599999999999998E-2</v>
      </c>
      <c r="T77" s="10">
        <f t="shared" si="35"/>
        <v>-19.458333333333332</v>
      </c>
      <c r="U77" s="10">
        <f t="shared" si="36"/>
        <v>0.34256220973359452</v>
      </c>
      <c r="V77" s="11">
        <f t="shared" ca="1" si="26"/>
        <v>1</v>
      </c>
      <c r="W77" s="11">
        <f t="shared" ca="1" si="27"/>
        <v>1</v>
      </c>
      <c r="X77" s="355">
        <f t="shared" si="33"/>
        <v>19</v>
      </c>
      <c r="Z77" s="284"/>
      <c r="AA77" s="285"/>
      <c r="AB77" s="338"/>
      <c r="AC77" s="339"/>
      <c r="AD77" s="279"/>
      <c r="AE77" s="287"/>
      <c r="AF77" s="287"/>
      <c r="AI77" s="294"/>
      <c r="AJ77" s="279"/>
    </row>
    <row r="78" spans="1:37" ht="13" x14ac:dyDescent="0.3">
      <c r="A78"/>
      <c r="B78"/>
      <c r="C78"/>
      <c r="D78"/>
      <c r="E78" s="322"/>
      <c r="F78" s="8">
        <f t="shared" si="28"/>
        <v>71</v>
      </c>
      <c r="G78" s="335">
        <f>'4050 Mortality'!C76</f>
        <v>1.2619999999999999E-2</v>
      </c>
      <c r="H78" s="10">
        <f t="shared" si="29"/>
        <v>0.98738000000000004</v>
      </c>
      <c r="I78" s="243">
        <f t="shared" si="22"/>
        <v>0.99472218164236947</v>
      </c>
      <c r="J78" s="328"/>
      <c r="K78" s="10">
        <f t="shared" si="30"/>
        <v>0.91487409404139752</v>
      </c>
      <c r="L78" s="256" cm="1">
        <f t="array" ref="L78">IF($F78&lt;K$1,"",INDEX('4044 Yield Curves'!$C$7:$C$66,MIN(60,2*($F78-K$1+0.5)),0))</f>
        <v>5.6899999999999999E-2</v>
      </c>
      <c r="M78" s="10">
        <f t="shared" si="34"/>
        <v>-21.458333333333332</v>
      </c>
      <c r="N78" s="10">
        <f t="shared" si="31"/>
        <v>0.30498087601827151</v>
      </c>
      <c r="O78" s="11">
        <f t="shared" ca="1" si="23"/>
        <v>1</v>
      </c>
      <c r="P78" s="11">
        <f t="shared" ca="1" si="24"/>
        <v>1</v>
      </c>
      <c r="Q78" s="355">
        <f t="shared" si="25"/>
        <v>21</v>
      </c>
      <c r="R78" s="10">
        <f t="shared" si="32"/>
        <v>0.9155607646148588</v>
      </c>
      <c r="S78" s="256" cm="1">
        <f t="array" ref="S78">IF($F78&lt;R$1,"",INDEX('4044 Yield Curves'!$C$7:$C$66,MIN(60,2*($F78-R$1+0.5)),0))</f>
        <v>5.6799999999999996E-2</v>
      </c>
      <c r="T78" s="10">
        <f t="shared" si="35"/>
        <v>-20.458333333333332</v>
      </c>
      <c r="U78" s="10">
        <f t="shared" si="36"/>
        <v>0.32295886175025501</v>
      </c>
      <c r="V78" s="11">
        <f t="shared" ca="1" si="26"/>
        <v>1</v>
      </c>
      <c r="W78" s="11">
        <f t="shared" ca="1" si="27"/>
        <v>1</v>
      </c>
      <c r="X78" s="355">
        <f t="shared" si="33"/>
        <v>20</v>
      </c>
      <c r="Z78" s="284"/>
      <c r="AA78" s="285"/>
      <c r="AB78" s="338"/>
      <c r="AC78" s="339"/>
      <c r="AD78" s="279"/>
      <c r="AE78" s="287"/>
      <c r="AF78" s="287"/>
      <c r="AI78" s="294"/>
      <c r="AJ78" s="279"/>
    </row>
    <row r="79" spans="1:37" ht="13" x14ac:dyDescent="0.3">
      <c r="A79"/>
      <c r="B79"/>
      <c r="C79"/>
      <c r="D79"/>
      <c r="E79" s="322"/>
      <c r="F79" s="8">
        <f t="shared" si="28"/>
        <v>72</v>
      </c>
      <c r="G79" s="335">
        <f>'4050 Mortality'!C77</f>
        <v>1.417E-2</v>
      </c>
      <c r="H79" s="10">
        <f t="shared" si="29"/>
        <v>0.98582999999999998</v>
      </c>
      <c r="I79" s="243">
        <f t="shared" si="22"/>
        <v>0.99407124772853339</v>
      </c>
      <c r="J79" s="328"/>
      <c r="K79" s="10">
        <f t="shared" si="30"/>
        <v>0.90332838297459517</v>
      </c>
      <c r="L79" s="256" cm="1">
        <f t="array" ref="L79">IF($F79&lt;K$1,"",INDEX('4044 Yield Curves'!$C$7:$C$66,MIN(60,2*($F79-K$1+0.5)),0))</f>
        <v>5.7000000000000002E-2</v>
      </c>
      <c r="M79" s="10">
        <f t="shared" si="34"/>
        <v>-22.458333333333332</v>
      </c>
      <c r="N79" s="10">
        <f t="shared" si="31"/>
        <v>0.28794922239232396</v>
      </c>
      <c r="O79" s="11">
        <f t="shared" ca="1" si="23"/>
        <v>1</v>
      </c>
      <c r="P79" s="11">
        <f t="shared" ca="1" si="24"/>
        <v>1</v>
      </c>
      <c r="Q79" s="355">
        <f t="shared" si="25"/>
        <v>22</v>
      </c>
      <c r="R79" s="10">
        <f t="shared" si="32"/>
        <v>0.90400638776541931</v>
      </c>
      <c r="S79" s="256" cm="1">
        <f t="array" ref="S79">IF($F79&lt;R$1,"",INDEX('4044 Yield Curves'!$C$7:$C$66,MIN(60,2*($F79-R$1+0.5)),0))</f>
        <v>5.6899999999999999E-2</v>
      </c>
      <c r="T79" s="10">
        <f t="shared" si="35"/>
        <v>-21.458333333333332</v>
      </c>
      <c r="U79" s="10">
        <f t="shared" si="36"/>
        <v>0.30498087601827151</v>
      </c>
      <c r="V79" s="11">
        <f t="shared" ca="1" si="26"/>
        <v>1</v>
      </c>
      <c r="W79" s="11">
        <f t="shared" ca="1" si="27"/>
        <v>1</v>
      </c>
      <c r="X79" s="355">
        <f t="shared" si="33"/>
        <v>21</v>
      </c>
      <c r="Z79" s="284"/>
      <c r="AA79" s="285"/>
      <c r="AB79" s="338"/>
      <c r="AC79" s="339"/>
      <c r="AD79" s="279"/>
      <c r="AE79" s="287"/>
      <c r="AF79" s="287"/>
      <c r="AI79" s="294"/>
      <c r="AJ79" s="279"/>
    </row>
    <row r="80" spans="1:37" ht="13" x14ac:dyDescent="0.3">
      <c r="A80"/>
      <c r="B80"/>
      <c r="C80"/>
      <c r="D80"/>
      <c r="E80" s="322"/>
      <c r="F80" s="8">
        <f t="shared" si="28"/>
        <v>73</v>
      </c>
      <c r="G80" s="335">
        <f>'4050 Mortality'!C78</f>
        <v>1.592E-2</v>
      </c>
      <c r="H80" s="10">
        <f t="shared" si="29"/>
        <v>0.98407999999999995</v>
      </c>
      <c r="I80" s="243">
        <f t="shared" si="22"/>
        <v>0.99333560440233326</v>
      </c>
      <c r="J80" s="328"/>
      <c r="K80" s="10">
        <f t="shared" si="30"/>
        <v>0.89052821978784513</v>
      </c>
      <c r="L80" s="256" cm="1">
        <f t="array" ref="L80">IF($F80&lt;K$1,"",INDEX('4044 Yield Curves'!$C$7:$C$66,MIN(60,2*($F80-K$1+0.5)),0))</f>
        <v>5.7000000000000002E-2</v>
      </c>
      <c r="M80" s="10">
        <f t="shared" si="34"/>
        <v>-23.458333333333332</v>
      </c>
      <c r="N80" s="10">
        <f t="shared" si="31"/>
        <v>0.27242121323777108</v>
      </c>
      <c r="O80" s="11">
        <f t="shared" ca="1" si="23"/>
        <v>1</v>
      </c>
      <c r="P80" s="11">
        <f t="shared" ca="1" si="24"/>
        <v>1</v>
      </c>
      <c r="Q80" s="355">
        <f t="shared" si="25"/>
        <v>23</v>
      </c>
      <c r="R80" s="10">
        <f t="shared" si="32"/>
        <v>0.89119661725078325</v>
      </c>
      <c r="S80" s="256" cm="1">
        <f t="array" ref="S80">IF($F80&lt;R$1,"",INDEX('4044 Yield Curves'!$C$7:$C$66,MIN(60,2*($F80-R$1+0.5)),0))</f>
        <v>5.7000000000000002E-2</v>
      </c>
      <c r="T80" s="10">
        <f t="shared" si="35"/>
        <v>-22.458333333333332</v>
      </c>
      <c r="U80" s="10">
        <f t="shared" si="36"/>
        <v>0.28794922239232396</v>
      </c>
      <c r="V80" s="11">
        <f t="shared" ca="1" si="26"/>
        <v>1</v>
      </c>
      <c r="W80" s="11">
        <f t="shared" ca="1" si="27"/>
        <v>1</v>
      </c>
      <c r="X80" s="355">
        <f t="shared" si="33"/>
        <v>22</v>
      </c>
      <c r="Z80" s="284"/>
      <c r="AA80" s="285"/>
      <c r="AB80" s="338"/>
      <c r="AC80" s="339"/>
      <c r="AD80" s="279"/>
      <c r="AE80" s="287"/>
      <c r="AF80" s="287"/>
      <c r="AI80" s="294"/>
      <c r="AJ80" s="279"/>
    </row>
    <row r="81" spans="1:36" ht="13" x14ac:dyDescent="0.3">
      <c r="A81"/>
      <c r="B81"/>
      <c r="C81"/>
      <c r="D81"/>
      <c r="E81" s="322"/>
      <c r="F81" s="8">
        <f t="shared" si="28"/>
        <v>74</v>
      </c>
      <c r="G81" s="335">
        <f>'4050 Mortality'!C79</f>
        <v>1.7940000000000001E-2</v>
      </c>
      <c r="H81" s="10">
        <f t="shared" si="29"/>
        <v>0.98206000000000004</v>
      </c>
      <c r="I81" s="243">
        <f t="shared" si="22"/>
        <v>0.99248551238145033</v>
      </c>
      <c r="J81" s="328"/>
      <c r="K81" s="10">
        <f t="shared" si="30"/>
        <v>0.87635101052882258</v>
      </c>
      <c r="L81" s="256" cm="1">
        <f t="array" ref="L81">IF($F81&lt;K$1,"",INDEX('4044 Yield Curves'!$C$7:$C$66,MIN(60,2*($F81-K$1+0.5)),0))</f>
        <v>5.7000000000000002E-2</v>
      </c>
      <c r="M81" s="10">
        <f t="shared" si="34"/>
        <v>-24.458333333333332</v>
      </c>
      <c r="N81" s="10">
        <f t="shared" si="31"/>
        <v>0.25773057070744665</v>
      </c>
      <c r="O81" s="11">
        <f t="shared" ca="1" si="23"/>
        <v>1</v>
      </c>
      <c r="P81" s="11">
        <f t="shared" ca="1" si="24"/>
        <v>1</v>
      </c>
      <c r="Q81" s="355">
        <f t="shared" si="25"/>
        <v>24</v>
      </c>
      <c r="R81" s="10">
        <f t="shared" si="32"/>
        <v>0.87700876710415077</v>
      </c>
      <c r="S81" s="256" cm="1">
        <f t="array" ref="S81">IF($F81&lt;R$1,"",INDEX('4044 Yield Curves'!$C$7:$C$66,MIN(60,2*($F81-R$1+0.5)),0))</f>
        <v>5.7000000000000002E-2</v>
      </c>
      <c r="T81" s="10">
        <f t="shared" si="35"/>
        <v>-23.458333333333332</v>
      </c>
      <c r="U81" s="10">
        <f t="shared" si="36"/>
        <v>0.27242121323777108</v>
      </c>
      <c r="V81" s="11">
        <f t="shared" ca="1" si="26"/>
        <v>1</v>
      </c>
      <c r="W81" s="11">
        <f t="shared" ca="1" si="27"/>
        <v>1</v>
      </c>
      <c r="X81" s="355">
        <f t="shared" si="33"/>
        <v>23</v>
      </c>
      <c r="Z81" s="284"/>
      <c r="AA81" s="285"/>
      <c r="AB81" s="338"/>
      <c r="AC81" s="339"/>
      <c r="AD81" s="279"/>
      <c r="AE81" s="287"/>
      <c r="AF81" s="287"/>
      <c r="AI81" s="294"/>
      <c r="AJ81" s="279"/>
    </row>
    <row r="82" spans="1:36" ht="13" x14ac:dyDescent="0.3">
      <c r="A82"/>
      <c r="B82"/>
      <c r="C82"/>
      <c r="D82"/>
      <c r="E82" s="322"/>
      <c r="F82" s="8">
        <f t="shared" si="28"/>
        <v>75</v>
      </c>
      <c r="G82" s="335">
        <f>'4050 Mortality'!C80</f>
        <v>2.0250000000000001E-2</v>
      </c>
      <c r="H82" s="10">
        <f t="shared" si="29"/>
        <v>0.97975000000000001</v>
      </c>
      <c r="I82" s="243">
        <f t="shared" si="22"/>
        <v>0.9915121263468234</v>
      </c>
      <c r="J82" s="328"/>
      <c r="K82" s="10">
        <f t="shared" si="30"/>
        <v>0.86062927339993556</v>
      </c>
      <c r="L82" s="256" cm="1">
        <f t="array" ref="L82">IF($F82&lt;K$1,"",INDEX('4044 Yield Curves'!$C$7:$C$66,MIN(60,2*($F82-K$1+0.5)),0))</f>
        <v>5.7000000000000002E-2</v>
      </c>
      <c r="M82" s="10">
        <f t="shared" si="34"/>
        <v>-25.458333333333332</v>
      </c>
      <c r="N82" s="10">
        <f t="shared" si="31"/>
        <v>0.2438321387960706</v>
      </c>
      <c r="O82" s="11">
        <f t="shared" ca="1" si="23"/>
        <v>1</v>
      </c>
      <c r="P82" s="11">
        <f t="shared" ca="1" si="24"/>
        <v>1</v>
      </c>
      <c r="Q82" s="355">
        <f t="shared" si="25"/>
        <v>25</v>
      </c>
      <c r="R82" s="10">
        <f t="shared" si="32"/>
        <v>0.86127522982230231</v>
      </c>
      <c r="S82" s="256" cm="1">
        <f t="array" ref="S82">IF($F82&lt;R$1,"",INDEX('4044 Yield Curves'!$C$7:$C$66,MIN(60,2*($F82-R$1+0.5)),0))</f>
        <v>5.7000000000000002E-2</v>
      </c>
      <c r="T82" s="10">
        <f t="shared" si="35"/>
        <v>-24.458333333333332</v>
      </c>
      <c r="U82" s="10">
        <f t="shared" si="36"/>
        <v>0.25773057070744665</v>
      </c>
      <c r="V82" s="11">
        <f t="shared" ca="1" si="26"/>
        <v>1</v>
      </c>
      <c r="W82" s="11">
        <f t="shared" ca="1" si="27"/>
        <v>1</v>
      </c>
      <c r="X82" s="355">
        <f t="shared" si="33"/>
        <v>24</v>
      </c>
      <c r="Z82" s="284"/>
      <c r="AA82" s="285"/>
      <c r="AB82" s="338"/>
      <c r="AC82" s="339"/>
      <c r="AD82" s="279"/>
      <c r="AE82" s="287"/>
      <c r="AF82" s="287"/>
      <c r="AI82" s="294"/>
      <c r="AJ82" s="279"/>
    </row>
    <row r="83" spans="1:36" ht="13" x14ac:dyDescent="0.3">
      <c r="A83"/>
      <c r="B83"/>
      <c r="C83"/>
      <c r="D83"/>
      <c r="E83" s="322"/>
      <c r="F83" s="8">
        <f t="shared" si="28"/>
        <v>76</v>
      </c>
      <c r="G83" s="335">
        <f>'4050 Mortality'!C81</f>
        <v>2.291E-2</v>
      </c>
      <c r="H83" s="10">
        <f t="shared" si="29"/>
        <v>0.97709000000000001</v>
      </c>
      <c r="I83" s="243">
        <f t="shared" si="22"/>
        <v>0.99038959774853474</v>
      </c>
      <c r="J83" s="328"/>
      <c r="K83" s="10">
        <f t="shared" si="30"/>
        <v>0.84320153061358682</v>
      </c>
      <c r="L83" s="256" cm="1">
        <f t="array" ref="L83">IF($F83&lt;K$1,"",INDEX('4044 Yield Curves'!$C$7:$C$66,MIN(60,2*($F83-K$1+0.5)),0))</f>
        <v>5.7099999999999998E-2</v>
      </c>
      <c r="M83" s="10">
        <f t="shared" si="34"/>
        <v>-26.458333333333332</v>
      </c>
      <c r="N83" s="10">
        <f t="shared" si="31"/>
        <v>0.23010651046820241</v>
      </c>
      <c r="O83" s="11">
        <f t="shared" ca="1" si="23"/>
        <v>1</v>
      </c>
      <c r="P83" s="11">
        <f t="shared" ca="1" si="24"/>
        <v>1</v>
      </c>
      <c r="Q83" s="355">
        <f t="shared" si="25"/>
        <v>26</v>
      </c>
      <c r="R83" s="10">
        <f t="shared" si="32"/>
        <v>0.84383440641840068</v>
      </c>
      <c r="S83" s="256" cm="1">
        <f t="array" ref="S83">IF($F83&lt;R$1,"",INDEX('4044 Yield Curves'!$C$7:$C$66,MIN(60,2*($F83-R$1+0.5)),0))</f>
        <v>5.7000000000000002E-2</v>
      </c>
      <c r="T83" s="10">
        <f t="shared" si="35"/>
        <v>-25.458333333333332</v>
      </c>
      <c r="U83" s="10">
        <f t="shared" si="36"/>
        <v>0.2438321387960706</v>
      </c>
      <c r="V83" s="11">
        <f t="shared" ca="1" si="26"/>
        <v>1</v>
      </c>
      <c r="W83" s="11">
        <f t="shared" ca="1" si="27"/>
        <v>1</v>
      </c>
      <c r="X83" s="355">
        <f t="shared" si="33"/>
        <v>25</v>
      </c>
      <c r="Z83" s="284"/>
      <c r="AA83" s="285"/>
      <c r="AB83" s="338"/>
      <c r="AC83" s="339"/>
      <c r="AD83" s="279"/>
      <c r="AE83" s="287"/>
      <c r="AF83" s="287"/>
      <c r="AI83" s="294"/>
      <c r="AJ83" s="279"/>
    </row>
    <row r="84" spans="1:36" ht="13" x14ac:dyDescent="0.3">
      <c r="A84"/>
      <c r="B84"/>
      <c r="C84"/>
      <c r="D84"/>
      <c r="E84" s="322"/>
      <c r="F84" s="8">
        <f t="shared" si="28"/>
        <v>77</v>
      </c>
      <c r="G84" s="335">
        <f>'4050 Mortality'!C82</f>
        <v>2.596E-2</v>
      </c>
      <c r="H84" s="10">
        <f t="shared" si="29"/>
        <v>0.97404000000000002</v>
      </c>
      <c r="I84" s="243">
        <f t="shared" si="22"/>
        <v>0.98910029184478265</v>
      </c>
      <c r="J84" s="328"/>
      <c r="K84" s="10">
        <f t="shared" si="30"/>
        <v>0.82388378354722958</v>
      </c>
      <c r="L84" s="256" cm="1">
        <f t="array" ref="L84">IF($F84&lt;K$1,"",INDEX('4044 Yield Curves'!$C$7:$C$66,MIN(60,2*($F84-K$1+0.5)),0))</f>
        <v>5.7099999999999998E-2</v>
      </c>
      <c r="M84" s="10">
        <f t="shared" si="34"/>
        <v>-27.458333333333332</v>
      </c>
      <c r="N84" s="10">
        <f t="shared" si="31"/>
        <v>0.21767714546230479</v>
      </c>
      <c r="O84" s="11">
        <f t="shared" ca="1" si="23"/>
        <v>1</v>
      </c>
      <c r="P84" s="11">
        <f t="shared" ca="1" si="24"/>
        <v>1</v>
      </c>
      <c r="Q84" s="355">
        <f t="shared" si="25"/>
        <v>27</v>
      </c>
      <c r="R84" s="10">
        <f t="shared" si="32"/>
        <v>0.82450216016735511</v>
      </c>
      <c r="S84" s="256" cm="1">
        <f t="array" ref="S84">IF($F84&lt;R$1,"",INDEX('4044 Yield Curves'!$C$7:$C$66,MIN(60,2*($F84-R$1+0.5)),0))</f>
        <v>5.7099999999999998E-2</v>
      </c>
      <c r="T84" s="10">
        <f t="shared" si="35"/>
        <v>-26.458333333333332</v>
      </c>
      <c r="U84" s="10">
        <f t="shared" si="36"/>
        <v>0.23010651046820241</v>
      </c>
      <c r="V84" s="11">
        <f t="shared" ca="1" si="26"/>
        <v>1</v>
      </c>
      <c r="W84" s="11">
        <f t="shared" ca="1" si="27"/>
        <v>1</v>
      </c>
      <c r="X84" s="355">
        <f t="shared" si="33"/>
        <v>26</v>
      </c>
      <c r="Z84" s="284"/>
      <c r="AA84" s="285"/>
      <c r="AB84" s="338"/>
      <c r="AC84" s="339"/>
      <c r="AD84" s="279"/>
      <c r="AE84" s="287"/>
      <c r="AF84" s="287"/>
      <c r="AI84" s="294"/>
      <c r="AJ84" s="279"/>
    </row>
    <row r="85" spans="1:36" ht="13" x14ac:dyDescent="0.3">
      <c r="A85"/>
      <c r="B85"/>
      <c r="C85"/>
      <c r="D85"/>
      <c r="E85" s="322"/>
      <c r="F85" s="8">
        <f t="shared" si="28"/>
        <v>78</v>
      </c>
      <c r="G85" s="335">
        <f>'4050 Mortality'!C83</f>
        <v>2.945E-2</v>
      </c>
      <c r="H85" s="10">
        <f t="shared" si="29"/>
        <v>0.97055000000000002</v>
      </c>
      <c r="I85" s="243">
        <f t="shared" si="22"/>
        <v>0.98762209523007294</v>
      </c>
      <c r="J85" s="328"/>
      <c r="K85" s="10">
        <f t="shared" si="30"/>
        <v>0.80249576052634353</v>
      </c>
      <c r="L85" s="256" cm="1">
        <f t="array" ref="L85">IF($F85&lt;K$1,"",INDEX('4044 Yield Curves'!$C$7:$C$66,MIN(60,2*($F85-K$1+0.5)),0))</f>
        <v>5.7100000000000005E-2</v>
      </c>
      <c r="M85" s="10">
        <f t="shared" si="34"/>
        <v>-28.458333333333332</v>
      </c>
      <c r="N85" s="10">
        <f t="shared" si="31"/>
        <v>0.20591916134926197</v>
      </c>
      <c r="O85" s="11">
        <f t="shared" ca="1" si="23"/>
        <v>1</v>
      </c>
      <c r="P85" s="11">
        <f t="shared" ca="1" si="24"/>
        <v>1</v>
      </c>
      <c r="Q85" s="355">
        <f t="shared" si="25"/>
        <v>28</v>
      </c>
      <c r="R85" s="10">
        <f t="shared" si="32"/>
        <v>0.80309808408941064</v>
      </c>
      <c r="S85" s="256" cm="1">
        <f t="array" ref="S85">IF($F85&lt;R$1,"",INDEX('4044 Yield Curves'!$C$7:$C$66,MIN(60,2*($F85-R$1+0.5)),0))</f>
        <v>5.7099999999999998E-2</v>
      </c>
      <c r="T85" s="10">
        <f t="shared" si="35"/>
        <v>-27.458333333333332</v>
      </c>
      <c r="U85" s="10">
        <f t="shared" si="36"/>
        <v>0.21767714546230479</v>
      </c>
      <c r="V85" s="11">
        <f t="shared" ca="1" si="26"/>
        <v>1</v>
      </c>
      <c r="W85" s="11">
        <f t="shared" ca="1" si="27"/>
        <v>1</v>
      </c>
      <c r="X85" s="355">
        <f t="shared" si="33"/>
        <v>27</v>
      </c>
      <c r="Z85" s="284"/>
      <c r="AA85" s="285"/>
      <c r="AB85" s="338"/>
      <c r="AC85" s="339"/>
      <c r="AD85" s="279"/>
      <c r="AE85" s="287"/>
      <c r="AF85" s="287"/>
      <c r="AI85" s="294"/>
      <c r="AJ85" s="279"/>
    </row>
    <row r="86" spans="1:36" ht="13" x14ac:dyDescent="0.3">
      <c r="A86"/>
      <c r="B86"/>
      <c r="C86"/>
      <c r="D86"/>
      <c r="E86" s="322"/>
      <c r="F86" s="8">
        <f t="shared" si="28"/>
        <v>79</v>
      </c>
      <c r="G86" s="335">
        <f>'4050 Mortality'!C84</f>
        <v>3.3450000000000001E-2</v>
      </c>
      <c r="H86" s="10">
        <f t="shared" si="29"/>
        <v>0.96655000000000002</v>
      </c>
      <c r="I86" s="243">
        <f t="shared" si="22"/>
        <v>0.98592406855629877</v>
      </c>
      <c r="J86" s="328"/>
      <c r="K86" s="10">
        <f t="shared" si="30"/>
        <v>0.77886226037884276</v>
      </c>
      <c r="L86" s="256" cm="1">
        <f t="array" ref="L86">IF($F86&lt;K$1,"",INDEX('4044 Yield Curves'!$C$7:$C$66,MIN(60,2*($F86-K$1+0.5)),0))</f>
        <v>5.7300000000000004E-2</v>
      </c>
      <c r="M86" s="10">
        <f t="shared" si="34"/>
        <v>-29.458333333333332</v>
      </c>
      <c r="N86" s="10">
        <f t="shared" si="31"/>
        <v>0.19371373264590286</v>
      </c>
      <c r="O86" s="11">
        <f t="shared" ca="1" si="23"/>
        <v>1</v>
      </c>
      <c r="P86" s="11">
        <f t="shared" ca="1" si="24"/>
        <v>1</v>
      </c>
      <c r="Q86" s="355">
        <f t="shared" si="25"/>
        <v>29</v>
      </c>
      <c r="R86" s="10">
        <f t="shared" si="32"/>
        <v>0.77944684551297749</v>
      </c>
      <c r="S86" s="256" cm="1">
        <f t="array" ref="S86">IF($F86&lt;R$1,"",INDEX('4044 Yield Curves'!$C$7:$C$66,MIN(60,2*($F86-R$1+0.5)),0))</f>
        <v>5.7100000000000005E-2</v>
      </c>
      <c r="T86" s="10">
        <f t="shared" si="35"/>
        <v>-28.458333333333332</v>
      </c>
      <c r="U86" s="10">
        <f t="shared" si="36"/>
        <v>0.20591916134926197</v>
      </c>
      <c r="V86" s="11">
        <f t="shared" ca="1" si="26"/>
        <v>1</v>
      </c>
      <c r="W86" s="11">
        <f t="shared" ca="1" si="27"/>
        <v>1</v>
      </c>
      <c r="X86" s="355">
        <f t="shared" si="33"/>
        <v>28</v>
      </c>
      <c r="Z86" s="284"/>
      <c r="AA86" s="285"/>
      <c r="AB86" s="338"/>
      <c r="AC86" s="339"/>
      <c r="AD86" s="279"/>
      <c r="AE86" s="287"/>
      <c r="AF86" s="287"/>
      <c r="AI86" s="294"/>
      <c r="AJ86" s="279"/>
    </row>
    <row r="87" spans="1:36" ht="13" x14ac:dyDescent="0.3">
      <c r="A87"/>
      <c r="B87"/>
      <c r="C87"/>
      <c r="D87"/>
      <c r="E87" s="322"/>
      <c r="F87" s="8">
        <f t="shared" si="28"/>
        <v>80</v>
      </c>
      <c r="G87" s="335">
        <f>'4050 Mortality'!C85</f>
        <v>3.823E-2</v>
      </c>
      <c r="H87" s="10">
        <f t="shared" si="29"/>
        <v>0.96177000000000001</v>
      </c>
      <c r="I87" s="243">
        <f t="shared" si="22"/>
        <v>0.98388954174138965</v>
      </c>
      <c r="J87" s="328"/>
      <c r="K87" s="10">
        <f t="shared" si="30"/>
        <v>0.75280931776917048</v>
      </c>
      <c r="L87" s="256" cm="1">
        <f t="array" ref="L87">IF($F87&lt;K$1,"",INDEX('4044 Yield Curves'!$C$7:$C$66,MIN(60,2*($F87-K$1+0.5)),0))</f>
        <v>5.74E-2</v>
      </c>
      <c r="M87" s="10">
        <f t="shared" si="34"/>
        <v>-30.458333333333332</v>
      </c>
      <c r="N87" s="10">
        <f t="shared" si="31"/>
        <v>0.18268846888429191</v>
      </c>
      <c r="O87" s="11">
        <f t="shared" ca="1" si="23"/>
        <v>1</v>
      </c>
      <c r="P87" s="11">
        <f t="shared" ca="1" si="24"/>
        <v>1</v>
      </c>
      <c r="Q87" s="355">
        <f t="shared" si="25"/>
        <v>30</v>
      </c>
      <c r="R87" s="10">
        <f t="shared" si="32"/>
        <v>0.75337434853056839</v>
      </c>
      <c r="S87" s="256" cm="1">
        <f t="array" ref="S87">IF($F87&lt;R$1,"",INDEX('4044 Yield Curves'!$C$7:$C$66,MIN(60,2*($F87-R$1+0.5)),0))</f>
        <v>5.7300000000000004E-2</v>
      </c>
      <c r="T87" s="10">
        <f t="shared" si="35"/>
        <v>-29.458333333333332</v>
      </c>
      <c r="U87" s="10">
        <f t="shared" si="36"/>
        <v>0.19371373264590286</v>
      </c>
      <c r="V87" s="11">
        <f t="shared" ca="1" si="26"/>
        <v>1</v>
      </c>
      <c r="W87" s="11">
        <f t="shared" ca="1" si="27"/>
        <v>1</v>
      </c>
      <c r="X87" s="355">
        <f t="shared" si="33"/>
        <v>29</v>
      </c>
      <c r="Z87" s="284"/>
      <c r="AA87" s="285"/>
      <c r="AB87" s="338"/>
      <c r="AC87" s="339"/>
      <c r="AD87" s="279"/>
      <c r="AE87" s="287"/>
      <c r="AF87" s="287"/>
      <c r="AI87" s="294"/>
      <c r="AJ87" s="279"/>
    </row>
    <row r="88" spans="1:36" ht="13" x14ac:dyDescent="0.3">
      <c r="A88"/>
      <c r="B88"/>
      <c r="C88"/>
      <c r="D88"/>
      <c r="E88" s="322"/>
      <c r="F88" s="8">
        <f t="shared" si="28"/>
        <v>81</v>
      </c>
      <c r="G88" s="335">
        <f>'4050 Mortality'!C86</f>
        <v>4.3150000000000001E-2</v>
      </c>
      <c r="H88" s="10">
        <f t="shared" si="29"/>
        <v>0.95684999999999998</v>
      </c>
      <c r="I88" s="243">
        <f t="shared" si="22"/>
        <v>0.98178925672601647</v>
      </c>
      <c r="J88" s="328"/>
      <c r="K88" s="10">
        <f t="shared" si="30"/>
        <v>0.72402941755085515</v>
      </c>
      <c r="L88" s="256" cm="1">
        <f t="array" ref="L88">IF($F88&lt;K$1,"",INDEX('4044 Yield Curves'!$C$7:$C$66,MIN(60,2*($F88-K$1+0.5)),0))</f>
        <v>5.74E-2</v>
      </c>
      <c r="M88" s="10">
        <f t="shared" si="34"/>
        <v>-31.458333333333332</v>
      </c>
      <c r="N88" s="10">
        <f t="shared" si="31"/>
        <v>0.17277139103867212</v>
      </c>
      <c r="O88" s="11">
        <f t="shared" ca="1" si="23"/>
        <v>1</v>
      </c>
      <c r="P88" s="11">
        <f t="shared" ca="1" si="24"/>
        <v>1</v>
      </c>
      <c r="Q88" s="355">
        <f t="shared" si="25"/>
        <v>31</v>
      </c>
      <c r="R88" s="10">
        <f t="shared" si="32"/>
        <v>0.72457284718624482</v>
      </c>
      <c r="S88" s="256" cm="1">
        <f t="array" ref="S88">IF($F88&lt;R$1,"",INDEX('4044 Yield Curves'!$C$7:$C$66,MIN(60,2*($F88-R$1+0.5)),0))</f>
        <v>5.74E-2</v>
      </c>
      <c r="T88" s="10">
        <f t="shared" si="35"/>
        <v>-30.458333333333332</v>
      </c>
      <c r="U88" s="10">
        <f t="shared" si="36"/>
        <v>0.18268846888429191</v>
      </c>
      <c r="V88" s="11">
        <f t="shared" ca="1" si="26"/>
        <v>1</v>
      </c>
      <c r="W88" s="11">
        <f t="shared" ca="1" si="27"/>
        <v>1</v>
      </c>
      <c r="X88" s="355">
        <f t="shared" si="33"/>
        <v>30</v>
      </c>
      <c r="Z88" s="284"/>
      <c r="AA88" s="285"/>
      <c r="AB88" s="338"/>
      <c r="AC88" s="339"/>
      <c r="AD88" s="279"/>
      <c r="AE88" s="287"/>
      <c r="AF88" s="287"/>
      <c r="AI88" s="294"/>
      <c r="AJ88" s="279"/>
    </row>
    <row r="89" spans="1:36" ht="13" x14ac:dyDescent="0.3">
      <c r="A89"/>
      <c r="B89"/>
      <c r="C89"/>
      <c r="D89"/>
      <c r="E89" s="322"/>
      <c r="F89" s="8">
        <f t="shared" si="28"/>
        <v>82</v>
      </c>
      <c r="G89" s="335">
        <f>'4050 Mortality'!C87</f>
        <v>4.8719999999999999E-2</v>
      </c>
      <c r="H89" s="10">
        <f t="shared" si="29"/>
        <v>0.95128000000000001</v>
      </c>
      <c r="I89" s="243">
        <f t="shared" si="22"/>
        <v>0.97940387780347105</v>
      </c>
      <c r="J89" s="328"/>
      <c r="K89" s="10">
        <f t="shared" si="30"/>
        <v>0.69278754818353572</v>
      </c>
      <c r="L89" s="256" cm="1">
        <f t="array" ref="L89">IF($F89&lt;K$1,"",INDEX('4044 Yield Curves'!$C$7:$C$66,MIN(60,2*($F89-K$1+0.5)),0))</f>
        <v>5.74E-2</v>
      </c>
      <c r="M89" s="10">
        <f t="shared" si="34"/>
        <v>-32.458333333333336</v>
      </c>
      <c r="N89" s="10">
        <f t="shared" si="31"/>
        <v>0.16339265276969178</v>
      </c>
      <c r="O89" s="11">
        <f t="shared" ca="1" si="23"/>
        <v>1</v>
      </c>
      <c r="P89" s="11">
        <f t="shared" ca="1" si="24"/>
        <v>1</v>
      </c>
      <c r="Q89" s="355">
        <f t="shared" si="25"/>
        <v>32</v>
      </c>
      <c r="R89" s="10">
        <f t="shared" si="32"/>
        <v>0.69330752883015834</v>
      </c>
      <c r="S89" s="256" cm="1">
        <f t="array" ref="S89">IF($F89&lt;R$1,"",INDEX('4044 Yield Curves'!$C$7:$C$66,MIN(60,2*($F89-R$1+0.5)),0))</f>
        <v>5.74E-2</v>
      </c>
      <c r="T89" s="10">
        <f t="shared" si="35"/>
        <v>-31.458333333333332</v>
      </c>
      <c r="U89" s="10">
        <f t="shared" si="36"/>
        <v>0.17277139103867212</v>
      </c>
      <c r="V89" s="11">
        <f t="shared" ca="1" si="26"/>
        <v>1</v>
      </c>
      <c r="W89" s="11">
        <f t="shared" ca="1" si="27"/>
        <v>1</v>
      </c>
      <c r="X89" s="355">
        <f t="shared" si="33"/>
        <v>31</v>
      </c>
      <c r="Z89" s="284"/>
      <c r="AA89" s="285"/>
      <c r="AB89" s="338"/>
      <c r="AC89" s="339"/>
      <c r="AD89" s="279"/>
      <c r="AE89" s="287"/>
      <c r="AF89" s="287"/>
      <c r="AI89" s="294"/>
      <c r="AJ89" s="279"/>
    </row>
    <row r="90" spans="1:36" ht="13" x14ac:dyDescent="0.3">
      <c r="A90"/>
      <c r="B90"/>
      <c r="C90"/>
      <c r="D90"/>
      <c r="E90" s="322"/>
      <c r="F90" s="8">
        <f t="shared" si="28"/>
        <v>83</v>
      </c>
      <c r="G90" s="335">
        <f>'4050 Mortality'!C88</f>
        <v>5.5019999999999999E-2</v>
      </c>
      <c r="H90" s="10">
        <f t="shared" si="29"/>
        <v>0.94498000000000004</v>
      </c>
      <c r="I90" s="243">
        <f t="shared" si="22"/>
        <v>0.9766960329519232</v>
      </c>
      <c r="J90" s="328"/>
      <c r="K90" s="10">
        <f t="shared" si="30"/>
        <v>0.65903493883603381</v>
      </c>
      <c r="L90" s="256" cm="1">
        <f t="array" ref="L90">IF($F90&lt;K$1,"",INDEX('4044 Yield Curves'!$C$7:$C$66,MIN(60,2*($F90-K$1+0.5)),0))</f>
        <v>5.74E-2</v>
      </c>
      <c r="M90" s="10">
        <f t="shared" si="34"/>
        <v>-33.458333333333336</v>
      </c>
      <c r="N90" s="10">
        <f t="shared" si="31"/>
        <v>0.15452303080167562</v>
      </c>
      <c r="O90" s="11">
        <f t="shared" ca="1" si="23"/>
        <v>1</v>
      </c>
      <c r="P90" s="11">
        <f t="shared" ca="1" si="24"/>
        <v>1</v>
      </c>
      <c r="Q90" s="355">
        <f t="shared" si="25"/>
        <v>33</v>
      </c>
      <c r="R90" s="10">
        <f t="shared" si="32"/>
        <v>0.65952958602555301</v>
      </c>
      <c r="S90" s="256" cm="1">
        <f t="array" ref="S90">IF($F90&lt;R$1,"",INDEX('4044 Yield Curves'!$C$7:$C$66,MIN(60,2*($F90-R$1+0.5)),0))</f>
        <v>5.74E-2</v>
      </c>
      <c r="T90" s="10">
        <f t="shared" si="35"/>
        <v>-32.458333333333336</v>
      </c>
      <c r="U90" s="10">
        <f t="shared" si="36"/>
        <v>0.16339265276969178</v>
      </c>
      <c r="V90" s="11">
        <f t="shared" ca="1" si="26"/>
        <v>1</v>
      </c>
      <c r="W90" s="11">
        <f t="shared" ca="1" si="27"/>
        <v>1</v>
      </c>
      <c r="X90" s="355">
        <f t="shared" si="33"/>
        <v>32</v>
      </c>
      <c r="Z90" s="284"/>
      <c r="AA90" s="285"/>
      <c r="AB90" s="338"/>
      <c r="AC90" s="339"/>
      <c r="AD90" s="279"/>
      <c r="AE90" s="287"/>
      <c r="AF90" s="287"/>
      <c r="AI90" s="294"/>
      <c r="AJ90" s="279"/>
    </row>
    <row r="91" spans="1:36" ht="13" x14ac:dyDescent="0.3">
      <c r="A91"/>
      <c r="B91"/>
      <c r="C91"/>
      <c r="D91"/>
      <c r="E91" s="322"/>
      <c r="F91" s="8">
        <f t="shared" si="28"/>
        <v>84</v>
      </c>
      <c r="G91" s="335">
        <f>'4050 Mortality'!C89</f>
        <v>6.2170000000000003E-2</v>
      </c>
      <c r="H91" s="10">
        <f t="shared" si="29"/>
        <v>0.93782999999999994</v>
      </c>
      <c r="I91" s="243">
        <f t="shared" si="22"/>
        <v>0.9736100550950163</v>
      </c>
      <c r="J91" s="328"/>
      <c r="K91" s="10">
        <f t="shared" si="30"/>
        <v>0.6227748365012753</v>
      </c>
      <c r="L91" s="256" cm="1">
        <f t="array" ref="L91">IF($F91&lt;K$1,"",INDEX('4044 Yield Curves'!$C$7:$C$66,MIN(60,2*($F91-K$1+0.5)),0))</f>
        <v>5.74E-2</v>
      </c>
      <c r="M91" s="10">
        <f t="shared" si="34"/>
        <v>-34.458333333333336</v>
      </c>
      <c r="N91" s="10">
        <f t="shared" si="31"/>
        <v>0.14613488821796447</v>
      </c>
      <c r="O91" s="11">
        <f t="shared" ca="1" si="23"/>
        <v>1</v>
      </c>
      <c r="P91" s="11">
        <f t="shared" ca="1" si="24"/>
        <v>1</v>
      </c>
      <c r="Q91" s="355">
        <f t="shared" si="25"/>
        <v>34</v>
      </c>
      <c r="R91" s="10">
        <f t="shared" si="32"/>
        <v>0.62324226820242712</v>
      </c>
      <c r="S91" s="256" cm="1">
        <f t="array" ref="S91">IF($F91&lt;R$1,"",INDEX('4044 Yield Curves'!$C$7:$C$66,MIN(60,2*($F91-R$1+0.5)),0))</f>
        <v>5.74E-2</v>
      </c>
      <c r="T91" s="10">
        <f t="shared" si="35"/>
        <v>-33.458333333333336</v>
      </c>
      <c r="U91" s="10">
        <f t="shared" si="36"/>
        <v>0.15452303080167562</v>
      </c>
      <c r="V91" s="11">
        <f t="shared" ca="1" si="26"/>
        <v>1</v>
      </c>
      <c r="W91" s="11">
        <f t="shared" ca="1" si="27"/>
        <v>1</v>
      </c>
      <c r="X91" s="355">
        <f t="shared" si="33"/>
        <v>33</v>
      </c>
      <c r="Z91" s="284"/>
      <c r="AA91" s="285"/>
      <c r="AB91" s="338"/>
      <c r="AC91" s="339"/>
      <c r="AD91" s="279"/>
      <c r="AE91" s="287"/>
      <c r="AF91" s="287"/>
      <c r="AI91" s="294"/>
      <c r="AJ91" s="279"/>
    </row>
    <row r="92" spans="1:36" ht="13" x14ac:dyDescent="0.3">
      <c r="A92"/>
      <c r="B92"/>
      <c r="C92"/>
      <c r="D92"/>
      <c r="E92" s="322"/>
      <c r="F92" s="8">
        <f t="shared" si="28"/>
        <v>85</v>
      </c>
      <c r="G92" s="335">
        <f>'4050 Mortality'!C90</f>
        <v>7.0290000000000005E-2</v>
      </c>
      <c r="H92" s="10">
        <f t="shared" si="29"/>
        <v>0.92971000000000004</v>
      </c>
      <c r="I92" s="243">
        <f t="shared" si="22"/>
        <v>0.97008873017749708</v>
      </c>
      <c r="J92" s="328"/>
      <c r="K92" s="10">
        <f t="shared" si="30"/>
        <v>0.58405692491599093</v>
      </c>
      <c r="L92" s="256" cm="1">
        <f t="array" ref="L92">IF($F92&lt;K$1,"",INDEX('4044 Yield Curves'!$C$7:$C$66,MIN(60,2*($F92-K$1+0.5)),0))</f>
        <v>5.74E-2</v>
      </c>
      <c r="M92" s="10">
        <f t="shared" si="34"/>
        <v>-35.458333333333336</v>
      </c>
      <c r="N92" s="10">
        <f t="shared" si="31"/>
        <v>0.13820208834685502</v>
      </c>
      <c r="O92" s="11">
        <f t="shared" ca="1" si="23"/>
        <v>1</v>
      </c>
      <c r="P92" s="11">
        <f t="shared" ca="1" si="24"/>
        <v>1</v>
      </c>
      <c r="Q92" s="355">
        <f t="shared" si="25"/>
        <v>35</v>
      </c>
      <c r="R92" s="10">
        <f t="shared" si="32"/>
        <v>0.58449529638828224</v>
      </c>
      <c r="S92" s="256" cm="1">
        <f t="array" ref="S92">IF($F92&lt;R$1,"",INDEX('4044 Yield Curves'!$C$7:$C$66,MIN(60,2*($F92-R$1+0.5)),0))</f>
        <v>5.74E-2</v>
      </c>
      <c r="T92" s="10">
        <f t="shared" si="35"/>
        <v>-34.458333333333336</v>
      </c>
      <c r="U92" s="10">
        <f t="shared" si="36"/>
        <v>0.14613488821796447</v>
      </c>
      <c r="V92" s="11">
        <f t="shared" ca="1" si="26"/>
        <v>1</v>
      </c>
      <c r="W92" s="11">
        <f t="shared" ca="1" si="27"/>
        <v>1</v>
      </c>
      <c r="X92" s="355">
        <f t="shared" si="33"/>
        <v>34</v>
      </c>
      <c r="Z92" s="284"/>
      <c r="AA92" s="285"/>
      <c r="AB92" s="338"/>
      <c r="AC92" s="339"/>
      <c r="AD92" s="279"/>
      <c r="AE92" s="287"/>
      <c r="AF92" s="287"/>
      <c r="AI92" s="294"/>
      <c r="AJ92" s="279"/>
    </row>
    <row r="93" spans="1:36" ht="13" x14ac:dyDescent="0.3">
      <c r="A93"/>
      <c r="B93"/>
      <c r="C93"/>
      <c r="D93"/>
      <c r="E93" s="322"/>
      <c r="F93" s="8">
        <f t="shared" si="28"/>
        <v>86</v>
      </c>
      <c r="G93" s="335">
        <f>'4050 Mortality'!C91</f>
        <v>7.9469999999999999E-2</v>
      </c>
      <c r="H93" s="10">
        <f t="shared" si="29"/>
        <v>0.92052999999999996</v>
      </c>
      <c r="I93" s="243">
        <f t="shared" si="22"/>
        <v>0.96608605011743542</v>
      </c>
      <c r="J93" s="328"/>
      <c r="K93" s="10">
        <f t="shared" si="30"/>
        <v>0.54300356366364599</v>
      </c>
      <c r="L93" s="256" cm="1">
        <f t="array" ref="L93">IF($F93&lt;K$1,"",INDEX('4044 Yield Curves'!$C$7:$C$66,MIN(60,2*($F93-K$1+0.5)),0))</f>
        <v>5.74E-2</v>
      </c>
      <c r="M93" s="10">
        <f t="shared" si="34"/>
        <v>-36.458333333333336</v>
      </c>
      <c r="N93" s="10">
        <f t="shared" si="31"/>
        <v>0.13069991332216291</v>
      </c>
      <c r="O93" s="11">
        <f t="shared" ca="1" si="23"/>
        <v>1</v>
      </c>
      <c r="P93" s="11">
        <f t="shared" ca="1" si="24"/>
        <v>1</v>
      </c>
      <c r="Q93" s="355">
        <f t="shared" si="25"/>
        <v>36</v>
      </c>
      <c r="R93" s="10">
        <f t="shared" si="32"/>
        <v>0.54341112200514985</v>
      </c>
      <c r="S93" s="256" cm="1">
        <f t="array" ref="S93">IF($F93&lt;R$1,"",INDEX('4044 Yield Curves'!$C$7:$C$66,MIN(60,2*($F93-R$1+0.5)),0))</f>
        <v>5.74E-2</v>
      </c>
      <c r="T93" s="10">
        <f t="shared" si="35"/>
        <v>-35.458333333333336</v>
      </c>
      <c r="U93" s="10">
        <f t="shared" si="36"/>
        <v>0.13820208834685502</v>
      </c>
      <c r="V93" s="11">
        <f t="shared" ca="1" si="26"/>
        <v>1</v>
      </c>
      <c r="W93" s="11">
        <f t="shared" ca="1" si="27"/>
        <v>1</v>
      </c>
      <c r="X93" s="355">
        <f t="shared" si="33"/>
        <v>35</v>
      </c>
      <c r="Z93" s="284"/>
      <c r="AA93" s="285"/>
      <c r="AB93" s="338"/>
      <c r="AC93" s="339"/>
      <c r="AD93" s="279"/>
      <c r="AE93" s="287"/>
      <c r="AF93" s="287"/>
      <c r="AI93" s="294"/>
      <c r="AJ93" s="279"/>
    </row>
    <row r="94" spans="1:36" ht="13" x14ac:dyDescent="0.3">
      <c r="A94"/>
      <c r="B94"/>
      <c r="C94"/>
      <c r="D94"/>
      <c r="E94" s="322"/>
      <c r="F94" s="8">
        <f t="shared" si="28"/>
        <v>87</v>
      </c>
      <c r="G94" s="335">
        <f>'4050 Mortality'!C92</f>
        <v>8.9819999999999997E-2</v>
      </c>
      <c r="H94" s="10">
        <f t="shared" si="29"/>
        <v>0.91017999999999999</v>
      </c>
      <c r="I94" s="243">
        <f t="shared" si="22"/>
        <v>0.96154519823440066</v>
      </c>
      <c r="J94" s="328"/>
      <c r="K94" s="10">
        <f t="shared" si="30"/>
        <v>0.499851070459296</v>
      </c>
      <c r="L94" s="256" cm="1">
        <f t="array" ref="L94">IF($F94&lt;K$1,"",INDEX('4044 Yield Curves'!$C$7:$C$66,MIN(60,2*($F94-K$1+0.5)),0))</f>
        <v>5.74E-2</v>
      </c>
      <c r="M94" s="10">
        <f t="shared" si="34"/>
        <v>-37.458333333333336</v>
      </c>
      <c r="N94" s="10">
        <f t="shared" si="31"/>
        <v>0.12360498706465189</v>
      </c>
      <c r="O94" s="11">
        <f t="shared" ca="1" si="23"/>
        <v>1</v>
      </c>
      <c r="P94" s="11">
        <f t="shared" ca="1" si="24"/>
        <v>1</v>
      </c>
      <c r="Q94" s="355">
        <f t="shared" si="25"/>
        <v>37</v>
      </c>
      <c r="R94" s="10">
        <f t="shared" si="32"/>
        <v>0.50022624013940054</v>
      </c>
      <c r="S94" s="256" cm="1">
        <f t="array" ref="S94">IF($F94&lt;R$1,"",INDEX('4044 Yield Curves'!$C$7:$C$66,MIN(60,2*($F94-R$1+0.5)),0))</f>
        <v>5.74E-2</v>
      </c>
      <c r="T94" s="10">
        <f t="shared" si="35"/>
        <v>-36.458333333333336</v>
      </c>
      <c r="U94" s="10">
        <f t="shared" si="36"/>
        <v>0.13069991332216291</v>
      </c>
      <c r="V94" s="11">
        <f t="shared" ca="1" si="26"/>
        <v>1</v>
      </c>
      <c r="W94" s="11">
        <f t="shared" ca="1" si="27"/>
        <v>1</v>
      </c>
      <c r="X94" s="355">
        <f t="shared" si="33"/>
        <v>36</v>
      </c>
      <c r="Z94" s="284"/>
      <c r="AA94" s="285"/>
      <c r="AB94" s="338"/>
      <c r="AC94" s="339"/>
      <c r="AD94" s="279"/>
      <c r="AE94" s="287"/>
      <c r="AF94" s="287"/>
      <c r="AI94" s="294"/>
      <c r="AJ94" s="279"/>
    </row>
    <row r="95" spans="1:36" ht="13" x14ac:dyDescent="0.3">
      <c r="B95" s="13"/>
      <c r="C95" s="13"/>
      <c r="D95" s="13"/>
      <c r="E95" s="322"/>
      <c r="F95" s="8">
        <f t="shared" si="28"/>
        <v>88</v>
      </c>
      <c r="G95" s="335">
        <f>'4050 Mortality'!C93</f>
        <v>0.10154000000000001</v>
      </c>
      <c r="H95" s="10">
        <f t="shared" si="29"/>
        <v>0.89846000000000004</v>
      </c>
      <c r="I95" s="243">
        <f t="shared" si="22"/>
        <v>0.95636677036501483</v>
      </c>
      <c r="J95" s="328"/>
      <c r="K95" s="10">
        <f t="shared" si="30"/>
        <v>0.45495444731064205</v>
      </c>
      <c r="L95" s="256" cm="1">
        <f t="array" ref="L95">IF($F95&lt;K$1,"",INDEX('4044 Yield Curves'!$C$7:$C$66,MIN(60,2*($F95-K$1+0.5)),0))</f>
        <v>5.74E-2</v>
      </c>
      <c r="M95" s="10">
        <f t="shared" si="34"/>
        <v>-38.458333333333336</v>
      </c>
      <c r="N95" s="10">
        <f t="shared" si="31"/>
        <v>0.11689520244434642</v>
      </c>
      <c r="O95" s="11">
        <f t="shared" ca="1" si="23"/>
        <v>1</v>
      </c>
      <c r="P95" s="11">
        <f t="shared" ca="1" si="24"/>
        <v>1</v>
      </c>
      <c r="Q95" s="355">
        <f t="shared" si="25"/>
        <v>38</v>
      </c>
      <c r="R95" s="10">
        <f t="shared" si="32"/>
        <v>0.45529591925007956</v>
      </c>
      <c r="S95" s="256" cm="1">
        <f t="array" ref="S95">IF($F95&lt;R$1,"",INDEX('4044 Yield Curves'!$C$7:$C$66,MIN(60,2*($F95-R$1+0.5)),0))</f>
        <v>5.74E-2</v>
      </c>
      <c r="T95" s="10">
        <f t="shared" si="35"/>
        <v>-37.458333333333336</v>
      </c>
      <c r="U95" s="10">
        <f t="shared" si="36"/>
        <v>0.12360498706465189</v>
      </c>
      <c r="V95" s="11">
        <f t="shared" ca="1" si="26"/>
        <v>1</v>
      </c>
      <c r="W95" s="11">
        <f t="shared" ca="1" si="27"/>
        <v>1</v>
      </c>
      <c r="X95" s="355">
        <f t="shared" si="33"/>
        <v>37</v>
      </c>
      <c r="Z95" s="284"/>
      <c r="AA95" s="285"/>
      <c r="AB95" s="338"/>
      <c r="AC95" s="339"/>
      <c r="AD95" s="279"/>
      <c r="AE95" s="287"/>
      <c r="AF95" s="287"/>
      <c r="AI95" s="294"/>
      <c r="AJ95" s="279"/>
    </row>
    <row r="96" spans="1:36" ht="13" x14ac:dyDescent="0.3">
      <c r="B96" s="13"/>
      <c r="C96" s="13"/>
      <c r="D96" s="13"/>
      <c r="E96" s="322"/>
      <c r="F96" s="8">
        <f t="shared" si="28"/>
        <v>89</v>
      </c>
      <c r="G96" s="335">
        <f>'4050 Mortality'!C94</f>
        <v>0.11457000000000001</v>
      </c>
      <c r="H96" s="10">
        <f t="shared" si="29"/>
        <v>0.88542999999999994</v>
      </c>
      <c r="I96" s="243">
        <f t="shared" si="22"/>
        <v>0.95056305377076122</v>
      </c>
      <c r="J96" s="328"/>
      <c r="K96" s="10">
        <f t="shared" si="30"/>
        <v>0.40875837273071947</v>
      </c>
      <c r="L96" s="256" cm="1">
        <f t="array" ref="L96">IF($F96&lt;K$1,"",INDEX('4044 Yield Curves'!$C$7:$C$66,MIN(60,2*($F96-K$1+0.5)),0))</f>
        <v>5.74E-2</v>
      </c>
      <c r="M96" s="10">
        <f t="shared" si="34"/>
        <v>-39.458333333333336</v>
      </c>
      <c r="N96" s="10">
        <f t="shared" si="31"/>
        <v>0.11054965239677172</v>
      </c>
      <c r="O96" s="11">
        <f t="shared" ca="1" si="23"/>
        <v>1</v>
      </c>
      <c r="P96" s="11">
        <f t="shared" ca="1" si="24"/>
        <v>1</v>
      </c>
      <c r="Q96" s="355">
        <f t="shared" si="25"/>
        <v>39</v>
      </c>
      <c r="R96" s="10">
        <f t="shared" si="32"/>
        <v>0.40906517160942651</v>
      </c>
      <c r="S96" s="256" cm="1">
        <f t="array" ref="S96">IF($F96&lt;R$1,"",INDEX('4044 Yield Curves'!$C$7:$C$66,MIN(60,2*($F96-R$1+0.5)),0))</f>
        <v>5.74E-2</v>
      </c>
      <c r="T96" s="10">
        <f t="shared" si="35"/>
        <v>-38.458333333333336</v>
      </c>
      <c r="U96" s="10">
        <f t="shared" si="36"/>
        <v>0.11689520244434642</v>
      </c>
      <c r="V96" s="11">
        <f t="shared" ca="1" si="26"/>
        <v>1</v>
      </c>
      <c r="W96" s="11">
        <f t="shared" ca="1" si="27"/>
        <v>1</v>
      </c>
      <c r="X96" s="355">
        <f t="shared" si="33"/>
        <v>38</v>
      </c>
      <c r="Z96" s="284"/>
      <c r="AA96" s="285"/>
      <c r="AB96" s="338"/>
      <c r="AC96" s="339"/>
      <c r="AD96" s="279"/>
      <c r="AE96" s="287"/>
      <c r="AF96" s="287"/>
      <c r="AI96" s="294"/>
      <c r="AJ96" s="279"/>
    </row>
    <row r="97" spans="2:36" ht="13" x14ac:dyDescent="0.3">
      <c r="B97" s="13"/>
      <c r="C97" s="13"/>
      <c r="D97" s="13"/>
      <c r="E97" s="322"/>
      <c r="F97" s="8">
        <f t="shared" si="28"/>
        <v>90</v>
      </c>
      <c r="G97" s="335">
        <f>'4050 Mortality'!C95</f>
        <v>0.12889</v>
      </c>
      <c r="H97" s="10">
        <f t="shared" si="29"/>
        <v>0.87111000000000005</v>
      </c>
      <c r="I97" s="243">
        <f t="shared" si="22"/>
        <v>0.94412699712213199</v>
      </c>
      <c r="J97" s="328"/>
      <c r="K97" s="10">
        <f t="shared" si="30"/>
        <v>0.36192692596696091</v>
      </c>
      <c r="L97" s="256" cm="1">
        <f t="array" ref="L97">IF($F97&lt;K$1,"",INDEX('4044 Yield Curves'!$C$7:$C$66,MIN(60,2*($F97-K$1+0.5)),0))</f>
        <v>5.74E-2</v>
      </c>
      <c r="M97" s="10">
        <f t="shared" si="34"/>
        <v>-40.458333333333336</v>
      </c>
      <c r="N97" s="10">
        <f t="shared" si="31"/>
        <v>0.10454856477848659</v>
      </c>
      <c r="O97" s="11">
        <f t="shared" ca="1" si="23"/>
        <v>1</v>
      </c>
      <c r="P97" s="11">
        <f t="shared" ca="1" si="24"/>
        <v>1</v>
      </c>
      <c r="Q97" s="355">
        <f t="shared" si="25"/>
        <v>40</v>
      </c>
      <c r="R97" s="10">
        <f t="shared" si="32"/>
        <v>0.36219857489813451</v>
      </c>
      <c r="S97" s="256" cm="1">
        <f t="array" ref="S97">IF($F97&lt;R$1,"",INDEX('4044 Yield Curves'!$C$7:$C$66,MIN(60,2*($F97-R$1+0.5)),0))</f>
        <v>5.74E-2</v>
      </c>
      <c r="T97" s="10">
        <f t="shared" si="35"/>
        <v>-39.458333333333336</v>
      </c>
      <c r="U97" s="10">
        <f t="shared" si="36"/>
        <v>0.11054965239677172</v>
      </c>
      <c r="V97" s="11">
        <f t="shared" ca="1" si="26"/>
        <v>1</v>
      </c>
      <c r="W97" s="11">
        <f t="shared" ca="1" si="27"/>
        <v>1</v>
      </c>
      <c r="X97" s="355">
        <f t="shared" si="33"/>
        <v>39</v>
      </c>
      <c r="Z97" s="284"/>
      <c r="AA97" s="285"/>
      <c r="AB97" s="338"/>
      <c r="AC97" s="339"/>
      <c r="AD97" s="279"/>
      <c r="AE97" s="287"/>
      <c r="AF97" s="287"/>
      <c r="AI97" s="294"/>
      <c r="AJ97" s="279"/>
    </row>
    <row r="98" spans="2:36" ht="13" x14ac:dyDescent="0.3">
      <c r="B98" s="13"/>
      <c r="C98" s="13"/>
      <c r="D98" s="13"/>
      <c r="E98" s="322"/>
      <c r="F98" s="8">
        <f t="shared" si="28"/>
        <v>91</v>
      </c>
      <c r="G98" s="335">
        <f>'4050 Mortality'!C96</f>
        <v>0.14387</v>
      </c>
      <c r="H98" s="10">
        <f t="shared" si="29"/>
        <v>0.85613000000000006</v>
      </c>
      <c r="I98" s="243">
        <f t="shared" si="22"/>
        <v>0.93732790857719606</v>
      </c>
      <c r="J98" s="328"/>
      <c r="K98" s="10">
        <f t="shared" si="30"/>
        <v>0.31527816447907936</v>
      </c>
      <c r="L98" s="256" cm="1">
        <f t="array" ref="L98">IF($F98&lt;K$1,"",INDEX('4044 Yield Curves'!$C$7:$C$66,MIN(60,2*($F98-K$1+0.5)),0))</f>
        <v>5.74E-2</v>
      </c>
      <c r="M98" s="10">
        <f t="shared" si="34"/>
        <v>-41.458333333333336</v>
      </c>
      <c r="N98" s="10">
        <f t="shared" si="31"/>
        <v>9.8873240758924383E-2</v>
      </c>
      <c r="O98" s="11">
        <f t="shared" ca="1" si="23"/>
        <v>1</v>
      </c>
      <c r="P98" s="11">
        <f t="shared" ca="1" si="24"/>
        <v>1</v>
      </c>
      <c r="Q98" s="355">
        <f t="shared" si="25"/>
        <v>41</v>
      </c>
      <c r="R98" s="10">
        <f t="shared" si="32"/>
        <v>0.31551480057951398</v>
      </c>
      <c r="S98" s="256" cm="1">
        <f t="array" ref="S98">IF($F98&lt;R$1,"",INDEX('4044 Yield Curves'!$C$7:$C$66,MIN(60,2*($F98-R$1+0.5)),0))</f>
        <v>5.74E-2</v>
      </c>
      <c r="T98" s="10">
        <f t="shared" si="35"/>
        <v>-40.458333333333336</v>
      </c>
      <c r="U98" s="10">
        <f t="shared" si="36"/>
        <v>0.10454856477848659</v>
      </c>
      <c r="V98" s="11">
        <f t="shared" ca="1" si="26"/>
        <v>1</v>
      </c>
      <c r="W98" s="11">
        <f t="shared" ca="1" si="27"/>
        <v>1</v>
      </c>
      <c r="X98" s="355">
        <f t="shared" si="33"/>
        <v>40</v>
      </c>
      <c r="Z98" s="284"/>
      <c r="AA98" s="285"/>
      <c r="AB98" s="338"/>
      <c r="AC98" s="339"/>
      <c r="AD98" s="279"/>
      <c r="AE98" s="287"/>
      <c r="AF98" s="287"/>
      <c r="AI98" s="294"/>
      <c r="AJ98" s="279"/>
    </row>
    <row r="99" spans="2:36" ht="13" x14ac:dyDescent="0.3">
      <c r="B99" s="13"/>
      <c r="C99" s="13"/>
      <c r="D99" s="13"/>
      <c r="E99" s="322"/>
      <c r="F99" s="8">
        <f t="shared" si="28"/>
        <v>92</v>
      </c>
      <c r="G99" s="335">
        <f>'4050 Mortality'!C97</f>
        <v>0.15933</v>
      </c>
      <c r="H99" s="10">
        <f t="shared" si="29"/>
        <v>0.84067000000000003</v>
      </c>
      <c r="I99" s="243">
        <f t="shared" si="22"/>
        <v>0.93023779139647145</v>
      </c>
      <c r="J99" s="328"/>
      <c r="K99" s="10">
        <f t="shared" si="30"/>
        <v>0.26991909495547423</v>
      </c>
      <c r="L99" s="256" cm="1">
        <f t="array" ref="L99">IF($F99&lt;K$1,"",INDEX('4044 Yield Curves'!$C$7:$C$66,MIN(60,2*($F99-K$1+0.5)),0))</f>
        <v>5.74E-2</v>
      </c>
      <c r="M99" s="10">
        <f t="shared" si="34"/>
        <v>-42.458333333333336</v>
      </c>
      <c r="N99" s="10">
        <f t="shared" si="31"/>
        <v>9.3505996556576876E-2</v>
      </c>
      <c r="O99" s="11">
        <f t="shared" ca="1" si="23"/>
        <v>1</v>
      </c>
      <c r="P99" s="11">
        <f t="shared" ca="1" si="24"/>
        <v>1</v>
      </c>
      <c r="Q99" s="355">
        <f t="shared" si="25"/>
        <v>42</v>
      </c>
      <c r="R99" s="10">
        <f t="shared" si="32"/>
        <v>0.27012168622013932</v>
      </c>
      <c r="S99" s="256" cm="1">
        <f t="array" ref="S99">IF($F99&lt;R$1,"",INDEX('4044 Yield Curves'!$C$7:$C$66,MIN(60,2*($F99-R$1+0.5)),0))</f>
        <v>5.74E-2</v>
      </c>
      <c r="T99" s="10">
        <f t="shared" si="35"/>
        <v>-41.458333333333336</v>
      </c>
      <c r="U99" s="10">
        <f t="shared" si="36"/>
        <v>9.8873240758924383E-2</v>
      </c>
      <c r="V99" s="11">
        <f t="shared" ca="1" si="26"/>
        <v>1</v>
      </c>
      <c r="W99" s="11">
        <f t="shared" ca="1" si="27"/>
        <v>1</v>
      </c>
      <c r="X99" s="355">
        <f t="shared" si="33"/>
        <v>41</v>
      </c>
      <c r="Z99" s="284"/>
      <c r="AA99" s="285"/>
      <c r="AB99" s="338"/>
      <c r="AC99" s="339"/>
      <c r="AD99" s="279"/>
      <c r="AE99" s="287"/>
      <c r="AF99" s="287"/>
      <c r="AI99" s="294"/>
      <c r="AJ99" s="279"/>
    </row>
    <row r="100" spans="2:36" ht="13" x14ac:dyDescent="0.3">
      <c r="B100" s="13"/>
      <c r="C100" s="13"/>
      <c r="D100" s="13"/>
      <c r="E100" s="322"/>
      <c r="F100" s="8">
        <f t="shared" si="28"/>
        <v>93</v>
      </c>
      <c r="G100" s="335">
        <f>'4050 Mortality'!C98</f>
        <v>0.17521999999999999</v>
      </c>
      <c r="H100" s="10">
        <f t="shared" si="29"/>
        <v>0.82478000000000007</v>
      </c>
      <c r="I100" s="243">
        <f t="shared" si="22"/>
        <v>0.92287075515804118</v>
      </c>
      <c r="J100" s="328"/>
      <c r="K100" s="10">
        <f t="shared" si="30"/>
        <v>0.22691288555621852</v>
      </c>
      <c r="L100" s="256" cm="1">
        <f t="array" ref="L100">IF($F100&lt;K$1,"",INDEX('4044 Yield Curves'!$C$7:$C$66,MIN(60,2*($F100-K$1+0.5)),0))</f>
        <v>5.74E-2</v>
      </c>
      <c r="M100" s="10">
        <f t="shared" si="34"/>
        <v>-43.458333333333336</v>
      </c>
      <c r="N100" s="10">
        <f t="shared" si="31"/>
        <v>8.8430108337976973E-2</v>
      </c>
      <c r="O100" s="11">
        <f t="shared" ca="1" si="23"/>
        <v>1</v>
      </c>
      <c r="P100" s="11">
        <f t="shared" ca="1" si="24"/>
        <v>1</v>
      </c>
      <c r="Q100" s="355">
        <f t="shared" si="25"/>
        <v>43</v>
      </c>
      <c r="R100" s="10">
        <f t="shared" si="32"/>
        <v>0.22708319795468454</v>
      </c>
      <c r="S100" s="256" cm="1">
        <f t="array" ref="S100">IF($F100&lt;R$1,"",INDEX('4044 Yield Curves'!$C$7:$C$66,MIN(60,2*($F100-R$1+0.5)),0))</f>
        <v>5.74E-2</v>
      </c>
      <c r="T100" s="10">
        <f t="shared" si="35"/>
        <v>-42.458333333333336</v>
      </c>
      <c r="U100" s="10">
        <f t="shared" si="36"/>
        <v>9.3505996556576876E-2</v>
      </c>
      <c r="V100" s="11">
        <f t="shared" ca="1" si="26"/>
        <v>1</v>
      </c>
      <c r="W100" s="11">
        <f t="shared" ca="1" si="27"/>
        <v>1</v>
      </c>
      <c r="X100" s="355">
        <f t="shared" si="33"/>
        <v>42</v>
      </c>
      <c r="Z100" s="284"/>
      <c r="AA100" s="285"/>
      <c r="AB100" s="338"/>
      <c r="AC100" s="339"/>
      <c r="AD100" s="279"/>
      <c r="AE100" s="287"/>
      <c r="AF100" s="287"/>
      <c r="AI100" s="294"/>
      <c r="AJ100" s="279"/>
    </row>
    <row r="101" spans="2:36" ht="13" x14ac:dyDescent="0.3">
      <c r="B101" s="13"/>
      <c r="E101" s="322"/>
      <c r="F101" s="8">
        <f t="shared" si="28"/>
        <v>94</v>
      </c>
      <c r="G101" s="335">
        <f>'4050 Mortality'!C99</f>
        <v>0.19127</v>
      </c>
      <c r="H101" s="10">
        <f t="shared" si="29"/>
        <v>0.80872999999999995</v>
      </c>
      <c r="I101" s="243">
        <f t="shared" si="22"/>
        <v>0.91534500092520377</v>
      </c>
      <c r="J101" s="328"/>
      <c r="K101" s="10">
        <f t="shared" si="30"/>
        <v>0.18715320974905794</v>
      </c>
      <c r="L101" s="256" cm="1">
        <f t="array" ref="L101">IF($F101&lt;K$1,"",INDEX('4044 Yield Curves'!$C$7:$C$66,MIN(60,2*($F101-K$1+0.5)),0))</f>
        <v>5.74E-2</v>
      </c>
      <c r="M101" s="10">
        <f t="shared" si="34"/>
        <v>-44.458333333333336</v>
      </c>
      <c r="N101" s="10">
        <f t="shared" si="31"/>
        <v>8.3629760107789844E-2</v>
      </c>
      <c r="O101" s="11">
        <f t="shared" ca="1" si="23"/>
        <v>1</v>
      </c>
      <c r="P101" s="11">
        <f t="shared" ca="1" si="24"/>
        <v>1</v>
      </c>
      <c r="Q101" s="355">
        <f t="shared" si="25"/>
        <v>44</v>
      </c>
      <c r="R101" s="10">
        <f t="shared" si="32"/>
        <v>0.18729368000906474</v>
      </c>
      <c r="S101" s="256" cm="1">
        <f t="array" ref="S101">IF($F101&lt;R$1,"",INDEX('4044 Yield Curves'!$C$7:$C$66,MIN(60,2*($F101-R$1+0.5)),0))</f>
        <v>5.74E-2</v>
      </c>
      <c r="T101" s="10">
        <f t="shared" si="35"/>
        <v>-43.458333333333336</v>
      </c>
      <c r="U101" s="10">
        <f t="shared" si="36"/>
        <v>8.8430108337976973E-2</v>
      </c>
      <c r="V101" s="11">
        <f t="shared" ca="1" si="26"/>
        <v>1</v>
      </c>
      <c r="W101" s="11">
        <f t="shared" ca="1" si="27"/>
        <v>1</v>
      </c>
      <c r="X101" s="355">
        <f t="shared" si="33"/>
        <v>43</v>
      </c>
      <c r="Z101" s="284"/>
      <c r="AA101" s="285"/>
      <c r="AB101" s="338"/>
      <c r="AC101" s="339"/>
      <c r="AD101" s="279"/>
      <c r="AE101" s="287"/>
      <c r="AF101" s="287"/>
      <c r="AI101" s="294"/>
      <c r="AJ101" s="279"/>
    </row>
    <row r="102" spans="2:36" ht="13" x14ac:dyDescent="0.3">
      <c r="B102" s="13"/>
      <c r="E102" s="322"/>
      <c r="F102" s="8">
        <f t="shared" si="28"/>
        <v>95</v>
      </c>
      <c r="G102" s="335">
        <f>'4050 Mortality'!C100</f>
        <v>0.20745</v>
      </c>
      <c r="H102" s="10">
        <f t="shared" si="29"/>
        <v>0.79254999999999998</v>
      </c>
      <c r="I102" s="243">
        <f t="shared" si="22"/>
        <v>0.90766957733343412</v>
      </c>
      <c r="J102" s="328"/>
      <c r="K102" s="10">
        <f t="shared" si="30"/>
        <v>0.15135641532035563</v>
      </c>
      <c r="L102" s="256" cm="1">
        <f t="array" ref="L102">IF($F102&lt;K$1,"",INDEX('4044 Yield Curves'!$C$7:$C$66,MIN(60,2*($F102-K$1+0.5)),0))</f>
        <v>5.74E-2</v>
      </c>
      <c r="M102" s="10">
        <f t="shared" si="34"/>
        <v>-45.458333333333336</v>
      </c>
      <c r="N102" s="10">
        <f t="shared" si="31"/>
        <v>7.908999442764314E-2</v>
      </c>
      <c r="O102" s="11">
        <f t="shared" ca="1" si="23"/>
        <v>1</v>
      </c>
      <c r="P102" s="11">
        <f t="shared" ca="1" si="24"/>
        <v>1</v>
      </c>
      <c r="Q102" s="355">
        <f t="shared" si="25"/>
        <v>45</v>
      </c>
      <c r="R102" s="10">
        <f t="shared" si="32"/>
        <v>0.15147001783373093</v>
      </c>
      <c r="S102" s="256" cm="1">
        <f t="array" ref="S102">IF($F102&lt;R$1,"",INDEX('4044 Yield Curves'!$C$7:$C$66,MIN(60,2*($F102-R$1+0.5)),0))</f>
        <v>5.74E-2</v>
      </c>
      <c r="T102" s="10">
        <f t="shared" si="35"/>
        <v>-44.458333333333336</v>
      </c>
      <c r="U102" s="10">
        <f t="shared" si="36"/>
        <v>8.3629760107789844E-2</v>
      </c>
      <c r="V102" s="11">
        <f t="shared" ca="1" si="26"/>
        <v>1</v>
      </c>
      <c r="W102" s="11">
        <f t="shared" ca="1" si="27"/>
        <v>1</v>
      </c>
      <c r="X102" s="355">
        <f t="shared" si="33"/>
        <v>44</v>
      </c>
      <c r="Z102" s="284"/>
      <c r="AA102" s="285"/>
      <c r="AB102" s="338"/>
      <c r="AC102" s="339"/>
      <c r="AD102" s="279"/>
      <c r="AE102" s="287"/>
      <c r="AF102" s="287"/>
      <c r="AI102" s="294"/>
      <c r="AJ102" s="279"/>
    </row>
    <row r="103" spans="2:36" ht="13" x14ac:dyDescent="0.3">
      <c r="B103" s="13"/>
      <c r="E103" s="322"/>
      <c r="F103" s="8">
        <f t="shared" si="28"/>
        <v>96</v>
      </c>
      <c r="G103" s="335">
        <f>'4050 Mortality'!C101</f>
        <v>0.22467000000000001</v>
      </c>
      <c r="H103" s="10">
        <f t="shared" si="29"/>
        <v>0.77532999999999996</v>
      </c>
      <c r="I103" s="243">
        <f t="shared" ref="I103:I127" si="37">H103^(5/12)</f>
        <v>0.89939971419405507</v>
      </c>
      <c r="J103" s="328"/>
      <c r="K103" s="10">
        <f t="shared" si="30"/>
        <v>0.11995752696214784</v>
      </c>
      <c r="L103" s="256" cm="1">
        <f t="array" ref="L103">IF($F103&lt;K$1,"",INDEX('4044 Yield Curves'!$C$7:$C$66,MIN(60,2*($F103-K$1+0.5)),0))</f>
        <v>5.74E-2</v>
      </c>
      <c r="M103" s="10">
        <f t="shared" si="34"/>
        <v>-46.458333333333336</v>
      </c>
      <c r="N103" s="10">
        <f t="shared" si="31"/>
        <v>7.4796665810141078E-2</v>
      </c>
      <c r="O103" s="11">
        <f t="shared" ca="1" si="23"/>
        <v>1</v>
      </c>
      <c r="P103" s="11">
        <f t="shared" ca="1" si="24"/>
        <v>1</v>
      </c>
      <c r="Q103" s="355">
        <f t="shared" ref="Q103:Q127" si="38">MAX(0, $F103-$K$1)</f>
        <v>46</v>
      </c>
      <c r="R103" s="10">
        <f t="shared" si="32"/>
        <v>0.12004756263412344</v>
      </c>
      <c r="S103" s="256" cm="1">
        <f t="array" ref="S103">IF($F103&lt;R$1,"",INDEX('4044 Yield Curves'!$C$7:$C$66,MIN(60,2*($F103-R$1+0.5)),0))</f>
        <v>5.74E-2</v>
      </c>
      <c r="T103" s="10">
        <f t="shared" si="35"/>
        <v>-45.458333333333336</v>
      </c>
      <c r="U103" s="10">
        <f t="shared" si="36"/>
        <v>7.908999442764314E-2</v>
      </c>
      <c r="V103" s="11">
        <f t="shared" ref="V103:V127" ca="1" si="39">IF($F103&gt;=$V$5,1,0)</f>
        <v>1</v>
      </c>
      <c r="W103" s="11">
        <f t="shared" ref="W103:W127" ca="1" si="40">IF($F103&gt;=$W$6,1,0)</f>
        <v>1</v>
      </c>
      <c r="X103" s="355">
        <f t="shared" si="33"/>
        <v>45</v>
      </c>
      <c r="Z103" s="284"/>
      <c r="AA103" s="285"/>
      <c r="AB103" s="338"/>
      <c r="AC103" s="339"/>
      <c r="AD103" s="279"/>
      <c r="AE103" s="287"/>
      <c r="AF103" s="287"/>
      <c r="AI103" s="294"/>
      <c r="AJ103" s="279"/>
    </row>
    <row r="104" spans="2:36" ht="13" x14ac:dyDescent="0.3">
      <c r="B104" s="13"/>
      <c r="E104" s="322"/>
      <c r="F104" s="8">
        <f t="shared" si="28"/>
        <v>97</v>
      </c>
      <c r="G104" s="335">
        <f>'4050 Mortality'!C102</f>
        <v>0.24234</v>
      </c>
      <c r="H104" s="10">
        <f t="shared" si="29"/>
        <v>0.75766</v>
      </c>
      <c r="I104" s="243">
        <f t="shared" si="37"/>
        <v>0.89080158928396214</v>
      </c>
      <c r="J104" s="328"/>
      <c r="K104" s="10">
        <f t="shared" ref="K104:K127" si="41">IF($F103&lt;$A$9,1,K103*$H103)</f>
        <v>9.3006669379562076E-2</v>
      </c>
      <c r="L104" s="256" cm="1">
        <f t="array" ref="L104">IF($F104&lt;K$1,"",INDEX('4044 Yield Curves'!$C$7:$C$66,MIN(60,2*($F104-K$1+0.5)),0))</f>
        <v>5.74E-2</v>
      </c>
      <c r="M104" s="10">
        <f t="shared" si="34"/>
        <v>-47.458333333333336</v>
      </c>
      <c r="N104" s="10">
        <f t="shared" ref="N104:N127" si="42">IF($F104&lt;K$1,1,(1+L104)^M104)</f>
        <v>7.0736396642841953E-2</v>
      </c>
      <c r="O104" s="11">
        <f t="shared" ca="1" si="23"/>
        <v>1</v>
      </c>
      <c r="P104" s="11">
        <f t="shared" ca="1" si="24"/>
        <v>1</v>
      </c>
      <c r="Q104" s="355">
        <f t="shared" si="38"/>
        <v>47</v>
      </c>
      <c r="R104" s="10">
        <f t="shared" ref="R104:R127" si="43">IF($F103&lt;$A$11,1,R103*$H103)</f>
        <v>9.307647673711493E-2</v>
      </c>
      <c r="S104" s="256" cm="1">
        <f t="array" ref="S104">IF($F104&lt;R$1,"",INDEX('4044 Yield Curves'!$C$7:$C$66,MIN(60,2*($F104-R$1+0.5)),0))</f>
        <v>5.74E-2</v>
      </c>
      <c r="T104" s="10">
        <f t="shared" si="35"/>
        <v>-46.458333333333336</v>
      </c>
      <c r="U104" s="10">
        <f t="shared" si="36"/>
        <v>7.4796665810141078E-2</v>
      </c>
      <c r="V104" s="11">
        <f t="shared" ca="1" si="39"/>
        <v>1</v>
      </c>
      <c r="W104" s="11">
        <f t="shared" ca="1" si="40"/>
        <v>1</v>
      </c>
      <c r="X104" s="355">
        <f t="shared" si="33"/>
        <v>46</v>
      </c>
      <c r="Z104" s="284"/>
      <c r="AA104" s="285"/>
      <c r="AB104" s="338"/>
      <c r="AC104" s="339"/>
      <c r="AD104" s="279"/>
      <c r="AE104" s="287"/>
      <c r="AF104" s="287"/>
      <c r="AI104" s="294"/>
      <c r="AJ104" s="279"/>
    </row>
    <row r="105" spans="2:36" ht="13" x14ac:dyDescent="0.3">
      <c r="B105" s="13"/>
      <c r="E105" s="322"/>
      <c r="F105" s="8">
        <f t="shared" si="28"/>
        <v>98</v>
      </c>
      <c r="G105" s="335">
        <f>'4050 Mortality'!C103</f>
        <v>0.26047999999999999</v>
      </c>
      <c r="H105" s="10">
        <f t="shared" si="29"/>
        <v>0.73951999999999996</v>
      </c>
      <c r="I105" s="243">
        <f t="shared" si="37"/>
        <v>0.88185219772789103</v>
      </c>
      <c r="J105" s="328"/>
      <c r="K105" s="10">
        <f t="shared" si="41"/>
        <v>7.0467433122119005E-2</v>
      </c>
      <c r="L105" s="256" cm="1">
        <f t="array" ref="L105">IF($F105&lt;K$1,"",INDEX('4044 Yield Curves'!$C$7:$C$66,MIN(60,2*($F105-K$1+0.5)),0))</f>
        <v>5.74E-2</v>
      </c>
      <c r="M105" s="10">
        <f t="shared" si="34"/>
        <v>-48.458333333333336</v>
      </c>
      <c r="N105" s="10">
        <f t="shared" si="42"/>
        <v>6.6896535504862825E-2</v>
      </c>
      <c r="O105" s="11">
        <f t="shared" ca="1" si="23"/>
        <v>1</v>
      </c>
      <c r="P105" s="11">
        <f t="shared" ca="1" si="24"/>
        <v>1</v>
      </c>
      <c r="Q105" s="355">
        <f t="shared" si="38"/>
        <v>48</v>
      </c>
      <c r="R105" s="10">
        <f t="shared" si="43"/>
        <v>7.0520323364642493E-2</v>
      </c>
      <c r="S105" s="256" cm="1">
        <f t="array" ref="S105">IF($F105&lt;R$1,"",INDEX('4044 Yield Curves'!$C$7:$C$66,MIN(60,2*($F105-R$1+0.5)),0))</f>
        <v>5.74E-2</v>
      </c>
      <c r="T105" s="10">
        <f t="shared" si="35"/>
        <v>-47.458333333333336</v>
      </c>
      <c r="U105" s="10">
        <f t="shared" si="36"/>
        <v>7.0736396642841953E-2</v>
      </c>
      <c r="V105" s="11">
        <f t="shared" ca="1" si="39"/>
        <v>1</v>
      </c>
      <c r="W105" s="11">
        <f t="shared" ca="1" si="40"/>
        <v>1</v>
      </c>
      <c r="X105" s="355">
        <f t="shared" si="33"/>
        <v>47</v>
      </c>
      <c r="Z105" s="284"/>
      <c r="AA105" s="285"/>
      <c r="AB105" s="338"/>
      <c r="AC105" s="339"/>
      <c r="AD105" s="279"/>
      <c r="AE105" s="287"/>
      <c r="AF105" s="287"/>
      <c r="AI105" s="294"/>
      <c r="AJ105" s="279"/>
    </row>
    <row r="106" spans="2:36" ht="13" x14ac:dyDescent="0.3">
      <c r="B106" s="13"/>
      <c r="E106" s="322"/>
      <c r="F106" s="8">
        <f t="shared" si="28"/>
        <v>99</v>
      </c>
      <c r="G106" s="335">
        <f>'4050 Mortality'!C104</f>
        <v>0.27911999999999998</v>
      </c>
      <c r="H106" s="10">
        <f t="shared" si="29"/>
        <v>0.72087999999999997</v>
      </c>
      <c r="I106" s="243">
        <f t="shared" si="37"/>
        <v>0.87252170687686526</v>
      </c>
      <c r="J106" s="328"/>
      <c r="K106" s="10">
        <f t="shared" si="41"/>
        <v>5.2112076142469446E-2</v>
      </c>
      <c r="L106" s="256" cm="1">
        <f t="array" ref="L106">IF($F106&lt;K$1,"",INDEX('4044 Yield Curves'!$C$7:$C$66,MIN(60,2*($F106-K$1+0.5)),0))</f>
        <v>5.74E-2</v>
      </c>
      <c r="M106" s="10">
        <f t="shared" si="34"/>
        <v>-49.458333333333336</v>
      </c>
      <c r="N106" s="10">
        <f t="shared" si="42"/>
        <v>6.3265117746229269E-2</v>
      </c>
      <c r="O106" s="11">
        <f t="shared" ca="1" si="23"/>
        <v>1</v>
      </c>
      <c r="P106" s="11">
        <f t="shared" ca="1" si="24"/>
        <v>1</v>
      </c>
      <c r="Q106" s="355">
        <f t="shared" si="38"/>
        <v>49</v>
      </c>
      <c r="R106" s="10">
        <f t="shared" si="43"/>
        <v>5.2151189534620411E-2</v>
      </c>
      <c r="S106" s="256" cm="1">
        <f t="array" ref="S106">IF($F106&lt;R$1,"",INDEX('4044 Yield Curves'!$C$7:$C$66,MIN(60,2*($F106-R$1+0.5)),0))</f>
        <v>5.74E-2</v>
      </c>
      <c r="T106" s="10">
        <f t="shared" si="35"/>
        <v>-48.458333333333336</v>
      </c>
      <c r="U106" s="10">
        <f t="shared" si="36"/>
        <v>6.6896535504862825E-2</v>
      </c>
      <c r="V106" s="11">
        <f t="shared" ca="1" si="39"/>
        <v>1</v>
      </c>
      <c r="W106" s="11">
        <f t="shared" ca="1" si="40"/>
        <v>1</v>
      </c>
      <c r="X106" s="355">
        <f t="shared" si="33"/>
        <v>48</v>
      </c>
      <c r="Z106" s="284"/>
      <c r="AA106" s="285"/>
      <c r="AB106" s="338"/>
      <c r="AC106" s="339"/>
      <c r="AD106" s="279"/>
      <c r="AE106" s="287"/>
      <c r="AF106" s="287"/>
      <c r="AI106" s="294"/>
      <c r="AJ106" s="279"/>
    </row>
    <row r="107" spans="2:36" ht="13" x14ac:dyDescent="0.3">
      <c r="B107" s="13"/>
      <c r="E107" s="322"/>
      <c r="F107" s="8">
        <f t="shared" si="28"/>
        <v>100</v>
      </c>
      <c r="G107" s="335">
        <f>'4050 Mortality'!C105</f>
        <v>0.29814000000000002</v>
      </c>
      <c r="H107" s="10">
        <f t="shared" si="29"/>
        <v>0.70185999999999993</v>
      </c>
      <c r="I107" s="243">
        <f t="shared" si="37"/>
        <v>0.86285477144711087</v>
      </c>
      <c r="J107" s="328"/>
      <c r="K107" s="10">
        <f t="shared" si="41"/>
        <v>3.7566553449583373E-2</v>
      </c>
      <c r="L107" s="256" cm="1">
        <f t="array" ref="L107">IF($F107&lt;K$1,"",INDEX('4044 Yield Curves'!$C$7:$C$66,MIN(60,2*($F107-K$1+0.5)),0))</f>
        <v>5.74E-2</v>
      </c>
      <c r="M107" s="10">
        <f t="shared" si="34"/>
        <v>-50.458333333333336</v>
      </c>
      <c r="N107" s="10">
        <f t="shared" si="42"/>
        <v>5.9830828207139454E-2</v>
      </c>
      <c r="O107" s="11">
        <f t="shared" ca="1" si="23"/>
        <v>1</v>
      </c>
      <c r="P107" s="11">
        <f t="shared" ca="1" si="24"/>
        <v>1</v>
      </c>
      <c r="Q107" s="355">
        <f t="shared" si="38"/>
        <v>50</v>
      </c>
      <c r="R107" s="10">
        <f t="shared" si="43"/>
        <v>3.7594749511717158E-2</v>
      </c>
      <c r="S107" s="256" cm="1">
        <f t="array" ref="S107">IF($F107&lt;R$1,"",INDEX('4044 Yield Curves'!$C$7:$C$66,MIN(60,2*($F107-R$1+0.5)),0))</f>
        <v>5.74E-2</v>
      </c>
      <c r="T107" s="10">
        <f t="shared" si="35"/>
        <v>-49.458333333333336</v>
      </c>
      <c r="U107" s="10">
        <f t="shared" si="36"/>
        <v>6.3265117746229269E-2</v>
      </c>
      <c r="V107" s="11">
        <f t="shared" ca="1" si="39"/>
        <v>1</v>
      </c>
      <c r="W107" s="11">
        <f t="shared" ca="1" si="40"/>
        <v>1</v>
      </c>
      <c r="X107" s="355">
        <f t="shared" si="33"/>
        <v>49</v>
      </c>
      <c r="Z107" s="284"/>
      <c r="AA107" s="285"/>
      <c r="AB107" s="338"/>
      <c r="AC107" s="339"/>
      <c r="AD107" s="279"/>
      <c r="AE107" s="287"/>
      <c r="AF107" s="287"/>
      <c r="AI107" s="294"/>
      <c r="AJ107" s="279"/>
    </row>
    <row r="108" spans="2:36" ht="13" x14ac:dyDescent="0.3">
      <c r="B108" s="13"/>
      <c r="E108" s="322"/>
      <c r="F108" s="8">
        <f t="shared" si="28"/>
        <v>101</v>
      </c>
      <c r="G108" s="335">
        <f>'4050 Mortality'!C106</f>
        <v>0.31746000000000002</v>
      </c>
      <c r="H108" s="10">
        <f t="shared" si="29"/>
        <v>0.68253999999999992</v>
      </c>
      <c r="I108" s="243">
        <f t="shared" si="37"/>
        <v>0.85287760683416081</v>
      </c>
      <c r="J108" s="328"/>
      <c r="K108" s="10">
        <f t="shared" si="41"/>
        <v>2.6366461204124583E-2</v>
      </c>
      <c r="L108" s="256" cm="1">
        <f t="array" ref="L108">IF($F108&lt;K$1,"",INDEX('4044 Yield Curves'!$C$7:$C$66,MIN(60,2*($F108-K$1+0.5)),0))</f>
        <v>5.74E-2</v>
      </c>
      <c r="M108" s="10">
        <f t="shared" si="34"/>
        <v>-51.458333333333336</v>
      </c>
      <c r="N108" s="10">
        <f t="shared" si="42"/>
        <v>5.6582965960979274E-2</v>
      </c>
      <c r="O108" s="11">
        <f t="shared" ca="1" si="23"/>
        <v>1</v>
      </c>
      <c r="P108" s="11">
        <f t="shared" ca="1" si="24"/>
        <v>1</v>
      </c>
      <c r="Q108" s="355">
        <f t="shared" si="38"/>
        <v>51</v>
      </c>
      <c r="R108" s="10">
        <f t="shared" si="43"/>
        <v>2.6386250892293801E-2</v>
      </c>
      <c r="S108" s="256" cm="1">
        <f t="array" ref="S108">IF($F108&lt;R$1,"",INDEX('4044 Yield Curves'!$C$7:$C$66,MIN(60,2*($F108-R$1+0.5)),0))</f>
        <v>5.74E-2</v>
      </c>
      <c r="T108" s="10">
        <f t="shared" si="35"/>
        <v>-50.458333333333336</v>
      </c>
      <c r="U108" s="10">
        <f t="shared" si="36"/>
        <v>5.9830828207139454E-2</v>
      </c>
      <c r="V108" s="11">
        <f t="shared" ca="1" si="39"/>
        <v>1</v>
      </c>
      <c r="W108" s="11">
        <f t="shared" ca="1" si="40"/>
        <v>1</v>
      </c>
      <c r="X108" s="355">
        <f t="shared" si="33"/>
        <v>50</v>
      </c>
      <c r="Z108" s="284"/>
      <c r="AA108" s="285"/>
      <c r="AB108" s="338"/>
      <c r="AC108" s="339"/>
      <c r="AD108" s="279"/>
      <c r="AE108" s="287"/>
      <c r="AF108" s="287"/>
      <c r="AI108" s="294"/>
      <c r="AJ108" s="279"/>
    </row>
    <row r="109" spans="2:36" ht="13" x14ac:dyDescent="0.3">
      <c r="B109" s="13"/>
      <c r="E109" s="322"/>
      <c r="F109" s="8">
        <f t="shared" si="28"/>
        <v>102</v>
      </c>
      <c r="G109" s="335">
        <f>'4050 Mortality'!C107</f>
        <v>0.33676</v>
      </c>
      <c r="H109" s="10">
        <f t="shared" si="29"/>
        <v>0.66324000000000005</v>
      </c>
      <c r="I109" s="243">
        <f t="shared" si="37"/>
        <v>0.84274489306781097</v>
      </c>
      <c r="J109" s="328"/>
      <c r="K109" s="10">
        <f t="shared" si="41"/>
        <v>1.7996164430263192E-2</v>
      </c>
      <c r="L109" s="256" cm="1">
        <f t="array" ref="L109">IF($F109&lt;K$1,"",INDEX('4044 Yield Curves'!$C$7:$C$66,MIN(60,2*($F109-K$1+0.5)),0))</f>
        <v>5.74E-2</v>
      </c>
      <c r="M109" s="10">
        <f t="shared" si="34"/>
        <v>-52.458333333333336</v>
      </c>
      <c r="N109" s="10">
        <f t="shared" si="42"/>
        <v>5.3511410971230633E-2</v>
      </c>
      <c r="O109" s="11">
        <f t="shared" ca="1" si="23"/>
        <v>1</v>
      </c>
      <c r="P109" s="11">
        <f t="shared" ca="1" si="24"/>
        <v>1</v>
      </c>
      <c r="Q109" s="355">
        <f t="shared" si="38"/>
        <v>52</v>
      </c>
      <c r="R109" s="10">
        <f t="shared" si="43"/>
        <v>1.8009671684026209E-2</v>
      </c>
      <c r="S109" s="256" cm="1">
        <f t="array" ref="S109">IF($F109&lt;R$1,"",INDEX('4044 Yield Curves'!$C$7:$C$66,MIN(60,2*($F109-R$1+0.5)),0))</f>
        <v>5.74E-2</v>
      </c>
      <c r="T109" s="10">
        <f t="shared" si="35"/>
        <v>-51.458333333333336</v>
      </c>
      <c r="U109" s="10">
        <f t="shared" si="36"/>
        <v>5.6582965960979274E-2</v>
      </c>
      <c r="V109" s="11">
        <f t="shared" ca="1" si="39"/>
        <v>1</v>
      </c>
      <c r="W109" s="11">
        <f t="shared" ca="1" si="40"/>
        <v>1</v>
      </c>
      <c r="X109" s="355">
        <f t="shared" si="33"/>
        <v>51</v>
      </c>
      <c r="Z109" s="284"/>
      <c r="AA109" s="285"/>
      <c r="AB109" s="338"/>
      <c r="AC109" s="339"/>
      <c r="AD109" s="279"/>
      <c r="AE109" s="287"/>
      <c r="AF109" s="287"/>
      <c r="AI109" s="294"/>
      <c r="AJ109" s="279"/>
    </row>
    <row r="110" spans="2:36" ht="13" x14ac:dyDescent="0.3">
      <c r="B110" s="13"/>
      <c r="E110" s="322"/>
      <c r="F110" s="8">
        <f t="shared" si="28"/>
        <v>103</v>
      </c>
      <c r="G110" s="335">
        <f>'4050 Mortality'!C108</f>
        <v>0.35594999999999999</v>
      </c>
      <c r="H110" s="10">
        <f t="shared" si="29"/>
        <v>0.64405000000000001</v>
      </c>
      <c r="I110" s="243">
        <f t="shared" si="37"/>
        <v>0.83249792602518247</v>
      </c>
      <c r="J110" s="328"/>
      <c r="K110" s="10">
        <f t="shared" si="41"/>
        <v>1.193577609672776E-2</v>
      </c>
      <c r="L110" s="256" cm="1">
        <f t="array" ref="L110">IF($F110&lt;K$1,"",INDEX('4044 Yield Curves'!$C$7:$C$66,MIN(60,2*($F110-K$1+0.5)),0))</f>
        <v>5.74E-2</v>
      </c>
      <c r="M110" s="10">
        <f t="shared" si="34"/>
        <v>-53.458333333333336</v>
      </c>
      <c r="N110" s="10">
        <f t="shared" si="42"/>
        <v>5.0606592558379647E-2</v>
      </c>
      <c r="O110" s="11">
        <f t="shared" ca="1" si="23"/>
        <v>1</v>
      </c>
      <c r="P110" s="11">
        <f t="shared" ca="1" si="24"/>
        <v>1</v>
      </c>
      <c r="Q110" s="355">
        <f t="shared" si="38"/>
        <v>53</v>
      </c>
      <c r="R110" s="10">
        <f t="shared" si="43"/>
        <v>1.1944734647713543E-2</v>
      </c>
      <c r="S110" s="256" cm="1">
        <f t="array" ref="S110">IF($F110&lt;R$1,"",INDEX('4044 Yield Curves'!$C$7:$C$66,MIN(60,2*($F110-R$1+0.5)),0))</f>
        <v>5.74E-2</v>
      </c>
      <c r="T110" s="10">
        <f t="shared" si="35"/>
        <v>-52.458333333333336</v>
      </c>
      <c r="U110" s="10">
        <f t="shared" si="36"/>
        <v>5.3511410971230633E-2</v>
      </c>
      <c r="V110" s="11">
        <f t="shared" ca="1" si="39"/>
        <v>1</v>
      </c>
      <c r="W110" s="11">
        <f t="shared" ca="1" si="40"/>
        <v>1</v>
      </c>
      <c r="X110" s="355">
        <f t="shared" si="33"/>
        <v>52</v>
      </c>
      <c r="Z110" s="284"/>
      <c r="AA110" s="285"/>
      <c r="AB110" s="338"/>
      <c r="AC110" s="339"/>
      <c r="AD110" s="279"/>
      <c r="AE110" s="287"/>
      <c r="AF110" s="287"/>
      <c r="AI110" s="294"/>
      <c r="AJ110" s="279"/>
    </row>
    <row r="111" spans="2:36" ht="13" x14ac:dyDescent="0.3">
      <c r="B111" s="13"/>
      <c r="E111" s="322"/>
      <c r="F111" s="8">
        <f t="shared" si="28"/>
        <v>104</v>
      </c>
      <c r="G111" s="335">
        <f>'4050 Mortality'!C109</f>
        <v>0.37502000000000002</v>
      </c>
      <c r="H111" s="10">
        <f t="shared" si="29"/>
        <v>0.62497999999999998</v>
      </c>
      <c r="I111" s="243">
        <f t="shared" si="37"/>
        <v>0.8221370428176431</v>
      </c>
      <c r="J111" s="328"/>
      <c r="K111" s="10">
        <f t="shared" si="41"/>
        <v>7.6872365950975139E-3</v>
      </c>
      <c r="L111" s="256" cm="1">
        <f t="array" ref="L111">IF($F111&lt;K$1,"",INDEX('4044 Yield Curves'!$C$7:$C$66,MIN(60,2*($F111-K$1+0.5)),0))</f>
        <v>5.74E-2</v>
      </c>
      <c r="M111" s="10">
        <f t="shared" si="34"/>
        <v>-54.458333333333336</v>
      </c>
      <c r="N111" s="10">
        <f t="shared" si="42"/>
        <v>4.7859459578569748E-2</v>
      </c>
      <c r="O111" s="11">
        <f t="shared" ca="1" si="23"/>
        <v>1</v>
      </c>
      <c r="P111" s="11">
        <f t="shared" ca="1" si="24"/>
        <v>1</v>
      </c>
      <c r="Q111" s="355">
        <f t="shared" si="38"/>
        <v>54</v>
      </c>
      <c r="R111" s="10">
        <f t="shared" si="43"/>
        <v>7.6930063498599072E-3</v>
      </c>
      <c r="S111" s="256" cm="1">
        <f t="array" ref="S111">IF($F111&lt;R$1,"",INDEX('4044 Yield Curves'!$C$7:$C$66,MIN(60,2*($F111-R$1+0.5)),0))</f>
        <v>5.74E-2</v>
      </c>
      <c r="T111" s="10">
        <f t="shared" si="35"/>
        <v>-53.458333333333336</v>
      </c>
      <c r="U111" s="10">
        <f t="shared" si="36"/>
        <v>5.0606592558379647E-2</v>
      </c>
      <c r="V111" s="11">
        <f t="shared" ca="1" si="39"/>
        <v>1</v>
      </c>
      <c r="W111" s="11">
        <f t="shared" ca="1" si="40"/>
        <v>1</v>
      </c>
      <c r="X111" s="355">
        <f t="shared" si="33"/>
        <v>53</v>
      </c>
      <c r="Z111" s="284"/>
      <c r="AA111" s="285"/>
      <c r="AB111" s="338"/>
      <c r="AC111" s="339"/>
      <c r="AD111" s="279"/>
      <c r="AE111" s="287"/>
      <c r="AF111" s="287"/>
      <c r="AI111" s="294"/>
      <c r="AJ111" s="279"/>
    </row>
    <row r="112" spans="2:36" ht="13" x14ac:dyDescent="0.3">
      <c r="B112" s="13"/>
      <c r="E112" s="322"/>
      <c r="F112" s="8">
        <f t="shared" si="28"/>
        <v>105</v>
      </c>
      <c r="G112" s="335">
        <f>'4050 Mortality'!C110</f>
        <v>0.39354</v>
      </c>
      <c r="H112" s="10">
        <f t="shared" si="29"/>
        <v>0.60646</v>
      </c>
      <c r="I112" s="243">
        <f t="shared" si="37"/>
        <v>0.81189693268660856</v>
      </c>
      <c r="J112" s="328"/>
      <c r="K112" s="10">
        <f t="shared" si="41"/>
        <v>4.8043691272040443E-3</v>
      </c>
      <c r="L112" s="256" cm="1">
        <f t="array" ref="L112">IF($F112&lt;K$1,"",INDEX('4044 Yield Curves'!$C$7:$C$66,MIN(60,2*($F112-K$1+0.5)),0))</f>
        <v>5.74E-2</v>
      </c>
      <c r="M112" s="10">
        <f t="shared" si="34"/>
        <v>-55.458333333333336</v>
      </c>
      <c r="N112" s="10">
        <f t="shared" si="42"/>
        <v>4.5261452221079766E-2</v>
      </c>
      <c r="O112" s="11">
        <f t="shared" ca="1" si="23"/>
        <v>1</v>
      </c>
      <c r="P112" s="11">
        <f t="shared" ca="1" si="24"/>
        <v>1</v>
      </c>
      <c r="Q112" s="355">
        <f t="shared" si="38"/>
        <v>55</v>
      </c>
      <c r="R112" s="10">
        <f t="shared" si="43"/>
        <v>4.8079751085354444E-3</v>
      </c>
      <c r="S112" s="256" cm="1">
        <f t="array" ref="S112">IF($F112&lt;R$1,"",INDEX('4044 Yield Curves'!$C$7:$C$66,MIN(60,2*($F112-R$1+0.5)),0))</f>
        <v>5.74E-2</v>
      </c>
      <c r="T112" s="10">
        <f t="shared" si="35"/>
        <v>-54.458333333333336</v>
      </c>
      <c r="U112" s="10">
        <f t="shared" si="36"/>
        <v>4.7859459578569748E-2</v>
      </c>
      <c r="V112" s="11">
        <f t="shared" ca="1" si="39"/>
        <v>1</v>
      </c>
      <c r="W112" s="11">
        <f t="shared" ca="1" si="40"/>
        <v>1</v>
      </c>
      <c r="X112" s="355">
        <f t="shared" si="33"/>
        <v>54</v>
      </c>
      <c r="Z112" s="284"/>
      <c r="AA112" s="285"/>
      <c r="AB112" s="338"/>
      <c r="AC112" s="339"/>
      <c r="AD112" s="279"/>
      <c r="AE112" s="287"/>
      <c r="AF112" s="287"/>
      <c r="AI112" s="294"/>
      <c r="AJ112" s="279"/>
    </row>
    <row r="113" spans="1:36" ht="13" x14ac:dyDescent="0.3">
      <c r="B113" s="13"/>
      <c r="E113" s="322"/>
      <c r="F113" s="8">
        <f t="shared" si="28"/>
        <v>106</v>
      </c>
      <c r="G113" s="335">
        <f>'4050 Mortality'!C111</f>
        <v>0.41166000000000003</v>
      </c>
      <c r="H113" s="10">
        <f t="shared" si="29"/>
        <v>0.58833999999999997</v>
      </c>
      <c r="I113" s="243">
        <f t="shared" si="37"/>
        <v>0.80169988887685972</v>
      </c>
      <c r="J113" s="328"/>
      <c r="K113" s="10">
        <f t="shared" si="41"/>
        <v>2.9136577008841646E-3</v>
      </c>
      <c r="L113" s="256" cm="1">
        <f t="array" ref="L113">IF($F113&lt;K$1,"",INDEX('4044 Yield Curves'!$C$7:$C$66,MIN(60,2*($F113-K$1+0.5)),0))</f>
        <v>5.74E-2</v>
      </c>
      <c r="M113" s="10">
        <f t="shared" si="34"/>
        <v>-56.458333333333336</v>
      </c>
      <c r="N113" s="10">
        <f t="shared" si="42"/>
        <v>4.2804475336750317E-2</v>
      </c>
      <c r="O113" s="11">
        <f t="shared" ca="1" si="23"/>
        <v>1</v>
      </c>
      <c r="P113" s="11">
        <f t="shared" ca="1" si="24"/>
        <v>1</v>
      </c>
      <c r="Q113" s="355">
        <f t="shared" si="38"/>
        <v>56</v>
      </c>
      <c r="R113" s="10">
        <f t="shared" si="43"/>
        <v>2.9158445843224055E-3</v>
      </c>
      <c r="S113" s="256" cm="1">
        <f t="array" ref="S113">IF($F113&lt;R$1,"",INDEX('4044 Yield Curves'!$C$7:$C$66,MIN(60,2*($F113-R$1+0.5)),0))</f>
        <v>5.74E-2</v>
      </c>
      <c r="T113" s="10">
        <f t="shared" si="35"/>
        <v>-55.458333333333336</v>
      </c>
      <c r="U113" s="10">
        <f t="shared" si="36"/>
        <v>4.5261452221079766E-2</v>
      </c>
      <c r="V113" s="11">
        <f t="shared" ca="1" si="39"/>
        <v>1</v>
      </c>
      <c r="W113" s="11">
        <f t="shared" ca="1" si="40"/>
        <v>1</v>
      </c>
      <c r="X113" s="355">
        <f t="shared" si="33"/>
        <v>55</v>
      </c>
      <c r="Z113" s="284"/>
      <c r="AA113" s="285"/>
      <c r="AB113" s="338"/>
      <c r="AC113" s="339"/>
      <c r="AD113" s="279"/>
      <c r="AE113" s="287"/>
      <c r="AF113" s="287"/>
      <c r="AI113" s="294"/>
      <c r="AJ113" s="279"/>
    </row>
    <row r="114" spans="1:36" ht="13" x14ac:dyDescent="0.3">
      <c r="B114" s="13"/>
      <c r="E114" s="322"/>
      <c r="F114" s="8">
        <f t="shared" si="28"/>
        <v>107</v>
      </c>
      <c r="G114" s="335">
        <f>'4050 Mortality'!C112</f>
        <v>0.42920999999999998</v>
      </c>
      <c r="H114" s="10">
        <f t="shared" si="29"/>
        <v>0.57079000000000002</v>
      </c>
      <c r="I114" s="243">
        <f t="shared" si="37"/>
        <v>0.79164744590344382</v>
      </c>
      <c r="J114" s="328"/>
      <c r="K114" s="10">
        <f t="shared" si="41"/>
        <v>1.7142213717381892E-3</v>
      </c>
      <c r="L114" s="256" cm="1">
        <f t="array" ref="L114">IF($F114&lt;K$1,"",INDEX('4044 Yield Curves'!$C$7:$C$66,MIN(60,2*($F114-K$1+0.5)),0))</f>
        <v>5.74E-2</v>
      </c>
      <c r="M114" s="10">
        <f t="shared" si="34"/>
        <v>-57.458333333333336</v>
      </c>
      <c r="N114" s="10">
        <f t="shared" si="42"/>
        <v>4.0480873214252241E-2</v>
      </c>
      <c r="O114" s="11">
        <f t="shared" ca="1" si="23"/>
        <v>1</v>
      </c>
      <c r="P114" s="11">
        <f t="shared" ca="1" si="24"/>
        <v>1</v>
      </c>
      <c r="Q114" s="355">
        <f t="shared" si="38"/>
        <v>57</v>
      </c>
      <c r="R114" s="10">
        <f t="shared" si="43"/>
        <v>1.7155080027402439E-3</v>
      </c>
      <c r="S114" s="256" cm="1">
        <f t="array" ref="S114">IF($F114&lt;R$1,"",INDEX('4044 Yield Curves'!$C$7:$C$66,MIN(60,2*($F114-R$1+0.5)),0))</f>
        <v>5.74E-2</v>
      </c>
      <c r="T114" s="10">
        <f t="shared" si="35"/>
        <v>-56.458333333333336</v>
      </c>
      <c r="U114" s="10">
        <f t="shared" si="36"/>
        <v>4.2804475336750317E-2</v>
      </c>
      <c r="V114" s="11">
        <f t="shared" ca="1" si="39"/>
        <v>1</v>
      </c>
      <c r="W114" s="11">
        <f t="shared" ca="1" si="40"/>
        <v>1</v>
      </c>
      <c r="X114" s="355">
        <f t="shared" si="33"/>
        <v>56</v>
      </c>
      <c r="Z114" s="284"/>
      <c r="AA114" s="285"/>
      <c r="AB114" s="338"/>
      <c r="AC114" s="339"/>
      <c r="AD114" s="279"/>
      <c r="AE114" s="287"/>
      <c r="AF114" s="287"/>
      <c r="AI114" s="294"/>
      <c r="AJ114" s="279"/>
    </row>
    <row r="115" spans="1:36" ht="13" x14ac:dyDescent="0.3">
      <c r="B115" s="13"/>
      <c r="E115" s="322"/>
      <c r="F115" s="8">
        <f t="shared" si="28"/>
        <v>108</v>
      </c>
      <c r="G115" s="335">
        <f>'4050 Mortality'!C113</f>
        <v>0.44595000000000001</v>
      </c>
      <c r="H115" s="10">
        <f t="shared" si="29"/>
        <v>0.55404999999999993</v>
      </c>
      <c r="I115" s="243">
        <f t="shared" si="37"/>
        <v>0.78188953357105251</v>
      </c>
      <c r="J115" s="328"/>
      <c r="K115" s="10">
        <f t="shared" si="41"/>
        <v>9.7846041677444114E-4</v>
      </c>
      <c r="L115" s="256" cm="1">
        <f t="array" ref="L115">IF($F115&lt;K$1,"",INDEX('4044 Yield Curves'!$C$7:$C$66,MIN(60,2*($F115-K$1+0.5)),0))</f>
        <v>5.74E-2</v>
      </c>
      <c r="M115" s="10">
        <f t="shared" si="34"/>
        <v>-58.458333333333336</v>
      </c>
      <c r="N115" s="10">
        <f t="shared" si="42"/>
        <v>3.8283405725602647E-2</v>
      </c>
      <c r="O115" s="11">
        <f t="shared" ca="1" si="23"/>
        <v>1</v>
      </c>
      <c r="P115" s="11">
        <f t="shared" ca="1" si="24"/>
        <v>1</v>
      </c>
      <c r="Q115" s="355">
        <f t="shared" si="38"/>
        <v>58</v>
      </c>
      <c r="R115" s="10">
        <f t="shared" si="43"/>
        <v>9.7919481288410385E-4</v>
      </c>
      <c r="S115" s="256" cm="1">
        <f t="array" ref="S115">IF($F115&lt;R$1,"",INDEX('4044 Yield Curves'!$C$7:$C$66,MIN(60,2*($F115-R$1+0.5)),0))</f>
        <v>5.74E-2</v>
      </c>
      <c r="T115" s="10">
        <f t="shared" si="35"/>
        <v>-57.458333333333336</v>
      </c>
      <c r="U115" s="10">
        <f t="shared" si="36"/>
        <v>4.0480873214252241E-2</v>
      </c>
      <c r="V115" s="11">
        <f t="shared" ca="1" si="39"/>
        <v>1</v>
      </c>
      <c r="W115" s="11">
        <f t="shared" ca="1" si="40"/>
        <v>1</v>
      </c>
      <c r="X115" s="355">
        <f t="shared" si="33"/>
        <v>57</v>
      </c>
      <c r="Z115" s="284"/>
      <c r="AA115" s="285"/>
      <c r="AB115" s="338"/>
      <c r="AC115" s="339"/>
      <c r="AD115" s="279"/>
      <c r="AE115" s="287"/>
      <c r="AF115" s="287"/>
      <c r="AI115" s="294"/>
      <c r="AJ115" s="279"/>
    </row>
    <row r="116" spans="1:36" ht="13" x14ac:dyDescent="0.3">
      <c r="B116" s="13"/>
      <c r="E116" s="322"/>
      <c r="F116" s="8">
        <f t="shared" si="28"/>
        <v>109</v>
      </c>
      <c r="G116" s="335">
        <f>'4050 Mortality'!C114</f>
        <v>0.46204000000000001</v>
      </c>
      <c r="H116" s="10">
        <f t="shared" si="29"/>
        <v>0.53795999999999999</v>
      </c>
      <c r="I116" s="243">
        <f t="shared" si="37"/>
        <v>0.77234705289364103</v>
      </c>
      <c r="J116" s="328"/>
      <c r="K116" s="10">
        <f t="shared" si="41"/>
        <v>5.4211599391387907E-4</v>
      </c>
      <c r="L116" s="256" cm="1">
        <f t="array" ref="L116">IF($F116&lt;K$1,"",INDEX('4044 Yield Curves'!$C$7:$C$66,MIN(60,2*($F116-K$1+0.5)),0))</f>
        <v>5.74E-2</v>
      </c>
      <c r="M116" s="10">
        <f t="shared" si="34"/>
        <v>-59.458333333333336</v>
      </c>
      <c r="N116" s="10">
        <f t="shared" si="42"/>
        <v>3.6205225766599819E-2</v>
      </c>
      <c r="O116" s="11">
        <f t="shared" ca="1" si="23"/>
        <v>1</v>
      </c>
      <c r="P116" s="11">
        <f t="shared" ca="1" si="24"/>
        <v>1</v>
      </c>
      <c r="Q116" s="355">
        <f t="shared" si="38"/>
        <v>59</v>
      </c>
      <c r="R116" s="10">
        <f t="shared" si="43"/>
        <v>5.4252288607843765E-4</v>
      </c>
      <c r="S116" s="256" cm="1">
        <f t="array" ref="S116">IF($F116&lt;R$1,"",INDEX('4044 Yield Curves'!$C$7:$C$66,MIN(60,2*($F116-R$1+0.5)),0))</f>
        <v>5.74E-2</v>
      </c>
      <c r="T116" s="10">
        <f t="shared" si="35"/>
        <v>-58.458333333333336</v>
      </c>
      <c r="U116" s="10">
        <f t="shared" si="36"/>
        <v>3.8283405725602647E-2</v>
      </c>
      <c r="V116" s="11">
        <f t="shared" ca="1" si="39"/>
        <v>1</v>
      </c>
      <c r="W116" s="11">
        <f t="shared" ca="1" si="40"/>
        <v>1</v>
      </c>
      <c r="X116" s="355">
        <f t="shared" si="33"/>
        <v>58</v>
      </c>
      <c r="Z116" s="284"/>
      <c r="AA116" s="285"/>
      <c r="AB116" s="338"/>
      <c r="AC116" s="339"/>
      <c r="AD116" s="279"/>
      <c r="AE116" s="287"/>
      <c r="AF116" s="287"/>
      <c r="AI116" s="294"/>
      <c r="AJ116" s="279"/>
    </row>
    <row r="117" spans="1:36" ht="13" x14ac:dyDescent="0.3">
      <c r="B117" s="13"/>
      <c r="E117" s="322"/>
      <c r="F117" s="8">
        <f t="shared" si="28"/>
        <v>110</v>
      </c>
      <c r="G117" s="335">
        <f>'4050 Mortality'!C115</f>
        <v>0.47508</v>
      </c>
      <c r="H117" s="10">
        <f t="shared" si="29"/>
        <v>0.52492000000000005</v>
      </c>
      <c r="I117" s="243">
        <f t="shared" si="37"/>
        <v>0.76449057113472751</v>
      </c>
      <c r="J117" s="328"/>
      <c r="K117" s="10">
        <f t="shared" si="41"/>
        <v>2.916367200859104E-4</v>
      </c>
      <c r="L117" s="256" cm="1">
        <f t="array" ref="L117">IF($F117&lt;K$1,"",INDEX('4044 Yield Curves'!$C$7:$C$66,MIN(60,2*($F117-K$1+0.5)),0))</f>
        <v>5.74E-2</v>
      </c>
      <c r="M117" s="10">
        <f t="shared" si="34"/>
        <v>-60.458333333333336</v>
      </c>
      <c r="N117" s="10">
        <f t="shared" si="42"/>
        <v>3.42398579218837E-2</v>
      </c>
      <c r="O117" s="11">
        <f t="shared" ca="1" si="23"/>
        <v>1</v>
      </c>
      <c r="P117" s="11">
        <f t="shared" ca="1" si="24"/>
        <v>1</v>
      </c>
      <c r="Q117" s="355">
        <f t="shared" si="38"/>
        <v>60</v>
      </c>
      <c r="R117" s="10">
        <f t="shared" si="43"/>
        <v>2.9185561179475634E-4</v>
      </c>
      <c r="S117" s="256" cm="1">
        <f t="array" ref="S117">IF($F117&lt;R$1,"",INDEX('4044 Yield Curves'!$C$7:$C$66,MIN(60,2*($F117-R$1+0.5)),0))</f>
        <v>5.74E-2</v>
      </c>
      <c r="T117" s="10">
        <f t="shared" si="35"/>
        <v>-59.458333333333336</v>
      </c>
      <c r="U117" s="10">
        <f t="shared" si="36"/>
        <v>3.6205225766599819E-2</v>
      </c>
      <c r="V117" s="11">
        <f t="shared" ca="1" si="39"/>
        <v>1</v>
      </c>
      <c r="W117" s="11">
        <f t="shared" ca="1" si="40"/>
        <v>1</v>
      </c>
      <c r="X117" s="355">
        <f t="shared" si="33"/>
        <v>59</v>
      </c>
      <c r="Z117" s="284"/>
      <c r="AA117" s="285"/>
      <c r="AB117" s="338"/>
      <c r="AC117" s="339"/>
      <c r="AD117" s="279"/>
      <c r="AE117" s="287"/>
      <c r="AF117" s="287"/>
      <c r="AI117" s="294"/>
      <c r="AJ117" s="279"/>
    </row>
    <row r="118" spans="1:36" ht="13" x14ac:dyDescent="0.3">
      <c r="B118" s="13"/>
      <c r="E118" s="322"/>
      <c r="F118" s="8">
        <f t="shared" si="28"/>
        <v>111</v>
      </c>
      <c r="G118" s="335">
        <f>'4050 Mortality'!C116</f>
        <v>0.48365999999999998</v>
      </c>
      <c r="H118" s="10">
        <f t="shared" si="29"/>
        <v>0.51634000000000002</v>
      </c>
      <c r="I118" s="243">
        <f t="shared" si="37"/>
        <v>0.75925892262371864</v>
      </c>
      <c r="J118" s="328"/>
      <c r="K118" s="10">
        <f t="shared" si="41"/>
        <v>1.530859471074961E-4</v>
      </c>
      <c r="L118" s="256" cm="1">
        <f t="array" ref="L118">IF($F118&lt;K$1,"",INDEX('4044 Yield Curves'!$C$7:$C$66,MIN(60,2*($F118-K$1+0.5)),0))</f>
        <v>5.74E-2</v>
      </c>
      <c r="M118" s="10">
        <f t="shared" si="34"/>
        <v>-61.458333333333336</v>
      </c>
      <c r="N118" s="10">
        <f t="shared" si="42"/>
        <v>3.2381178288144234E-2</v>
      </c>
      <c r="O118" s="11">
        <f t="shared" ca="1" si="23"/>
        <v>1</v>
      </c>
      <c r="P118" s="11">
        <f t="shared" ca="1" si="24"/>
        <v>1</v>
      </c>
      <c r="Q118" s="355">
        <f t="shared" si="38"/>
        <v>61</v>
      </c>
      <c r="R118" s="10">
        <f t="shared" si="43"/>
        <v>1.5320084774330352E-4</v>
      </c>
      <c r="S118" s="256" cm="1">
        <f t="array" ref="S118">IF($F118&lt;R$1,"",INDEX('4044 Yield Curves'!$C$7:$C$66,MIN(60,2*($F118-R$1+0.5)),0))</f>
        <v>5.74E-2</v>
      </c>
      <c r="T118" s="10">
        <f t="shared" si="35"/>
        <v>-60.458333333333336</v>
      </c>
      <c r="U118" s="10">
        <f t="shared" si="36"/>
        <v>3.42398579218837E-2</v>
      </c>
      <c r="V118" s="11">
        <f t="shared" ca="1" si="39"/>
        <v>1</v>
      </c>
      <c r="W118" s="11">
        <f t="shared" ca="1" si="40"/>
        <v>1</v>
      </c>
      <c r="X118" s="355">
        <f t="shared" si="33"/>
        <v>60</v>
      </c>
      <c r="Z118" s="284"/>
      <c r="AA118" s="285"/>
      <c r="AB118" s="338"/>
      <c r="AC118" s="339"/>
      <c r="AD118" s="279"/>
      <c r="AE118" s="287"/>
      <c r="AF118" s="287"/>
      <c r="AI118" s="294"/>
      <c r="AJ118" s="279"/>
    </row>
    <row r="119" spans="1:36" ht="13" x14ac:dyDescent="0.3">
      <c r="B119" s="13"/>
      <c r="E119" s="322"/>
      <c r="F119" s="8">
        <f t="shared" si="28"/>
        <v>112</v>
      </c>
      <c r="G119" s="335">
        <f>'4050 Mortality'!C117</f>
        <v>0.49184</v>
      </c>
      <c r="H119" s="10">
        <f t="shared" si="29"/>
        <v>0.50815999999999995</v>
      </c>
      <c r="I119" s="243">
        <f t="shared" si="37"/>
        <v>0.75422374058331154</v>
      </c>
      <c r="J119" s="328"/>
      <c r="K119" s="10">
        <f t="shared" si="41"/>
        <v>7.9044397929484541E-5</v>
      </c>
      <c r="L119" s="256" cm="1">
        <f t="array" ref="L119">IF($F119&lt;K$1,"",INDEX('4044 Yield Curves'!$C$7:$C$66,MIN(60,2*($F119-K$1+0.5)),0))</f>
        <v>5.74E-2</v>
      </c>
      <c r="M119" s="10">
        <f t="shared" si="34"/>
        <v>-62.458333333333336</v>
      </c>
      <c r="N119" s="10">
        <f t="shared" si="42"/>
        <v>3.0623395392608502E-2</v>
      </c>
      <c r="O119" s="11">
        <f t="shared" ca="1" si="23"/>
        <v>1</v>
      </c>
      <c r="P119" s="11">
        <f t="shared" ca="1" si="24"/>
        <v>1</v>
      </c>
      <c r="Q119" s="355">
        <f t="shared" si="38"/>
        <v>62</v>
      </c>
      <c r="R119" s="10">
        <f t="shared" si="43"/>
        <v>7.9103725723777342E-5</v>
      </c>
      <c r="S119" s="256" cm="1">
        <f t="array" ref="S119">IF($F119&lt;R$1,"",INDEX('4044 Yield Curves'!$C$7:$C$66,MIN(60,2*($F119-R$1+0.5)),0))</f>
        <v>5.74E-2</v>
      </c>
      <c r="T119" s="10">
        <f t="shared" si="35"/>
        <v>-61.458333333333336</v>
      </c>
      <c r="U119" s="10">
        <f t="shared" si="36"/>
        <v>3.2381178288144234E-2</v>
      </c>
      <c r="V119" s="11">
        <f t="shared" ca="1" si="39"/>
        <v>1</v>
      </c>
      <c r="W119" s="11">
        <f t="shared" ca="1" si="40"/>
        <v>1</v>
      </c>
      <c r="X119" s="355">
        <f t="shared" si="33"/>
        <v>61</v>
      </c>
      <c r="Z119" s="284"/>
      <c r="AA119" s="285"/>
      <c r="AB119" s="338"/>
      <c r="AC119" s="339"/>
      <c r="AD119" s="279"/>
      <c r="AE119" s="287"/>
      <c r="AF119" s="287"/>
      <c r="AI119" s="294"/>
      <c r="AJ119" s="279"/>
    </row>
    <row r="120" spans="1:36" ht="13" x14ac:dyDescent="0.3">
      <c r="B120" s="13"/>
      <c r="E120" s="322"/>
      <c r="F120" s="8">
        <f t="shared" si="28"/>
        <v>113</v>
      </c>
      <c r="G120" s="335">
        <f>'4050 Mortality'!C118</f>
        <v>0.49602000000000002</v>
      </c>
      <c r="H120" s="10">
        <f t="shared" si="29"/>
        <v>0.50397999999999998</v>
      </c>
      <c r="I120" s="243">
        <f t="shared" si="37"/>
        <v>0.75163248649034686</v>
      </c>
      <c r="J120" s="328"/>
      <c r="K120" s="10">
        <f t="shared" si="41"/>
        <v>4.0167201251846863E-5</v>
      </c>
      <c r="L120" s="256" cm="1">
        <f t="array" ref="L120">IF($F120&lt;K$1,"",INDEX('4044 Yield Curves'!$C$7:$C$66,MIN(60,2*($F120-K$1+0.5)),0))</f>
        <v>5.74E-2</v>
      </c>
      <c r="M120" s="10">
        <f t="shared" si="34"/>
        <v>-63.458333333333336</v>
      </c>
      <c r="N120" s="10">
        <f t="shared" si="42"/>
        <v>2.8961032147350581E-2</v>
      </c>
      <c r="O120" s="11">
        <f t="shared" ca="1" si="23"/>
        <v>1</v>
      </c>
      <c r="P120" s="11">
        <f t="shared" ca="1" si="24"/>
        <v>1</v>
      </c>
      <c r="Q120" s="355">
        <f t="shared" si="38"/>
        <v>63</v>
      </c>
      <c r="R120" s="10">
        <f t="shared" si="43"/>
        <v>4.0197349263794692E-5</v>
      </c>
      <c r="S120" s="256" cm="1">
        <f t="array" ref="S120">IF($F120&lt;R$1,"",INDEX('4044 Yield Curves'!$C$7:$C$66,MIN(60,2*($F120-R$1+0.5)),0))</f>
        <v>5.74E-2</v>
      </c>
      <c r="T120" s="10">
        <f t="shared" si="35"/>
        <v>-62.458333333333336</v>
      </c>
      <c r="U120" s="10">
        <f t="shared" si="36"/>
        <v>3.0623395392608502E-2</v>
      </c>
      <c r="V120" s="11">
        <f t="shared" ca="1" si="39"/>
        <v>1</v>
      </c>
      <c r="W120" s="11">
        <f t="shared" ca="1" si="40"/>
        <v>1</v>
      </c>
      <c r="X120" s="355">
        <f t="shared" si="33"/>
        <v>62</v>
      </c>
      <c r="Z120" s="284"/>
      <c r="AA120" s="285"/>
      <c r="AB120" s="338"/>
      <c r="AC120" s="339"/>
      <c r="AD120" s="279"/>
      <c r="AE120" s="287"/>
      <c r="AF120" s="287"/>
      <c r="AI120" s="294"/>
      <c r="AJ120" s="279"/>
    </row>
    <row r="121" spans="1:36" ht="13" x14ac:dyDescent="0.3">
      <c r="B121" s="13"/>
      <c r="E121" s="322"/>
      <c r="F121" s="8">
        <f t="shared" si="28"/>
        <v>114</v>
      </c>
      <c r="G121" s="335">
        <f>'4050 Mortality'!C119</f>
        <v>0.49751000000000001</v>
      </c>
      <c r="H121" s="10">
        <f t="shared" si="29"/>
        <v>0.50248999999999999</v>
      </c>
      <c r="I121" s="243">
        <f t="shared" si="37"/>
        <v>0.75070578004415744</v>
      </c>
      <c r="J121" s="328"/>
      <c r="K121" s="10">
        <f t="shared" si="41"/>
        <v>2.0243466086905781E-5</v>
      </c>
      <c r="L121" s="256" cm="1">
        <f t="array" ref="L121">IF($F121&lt;K$1,"",INDEX('4044 Yield Curves'!$C$7:$C$66,MIN(60,2*($F121-K$1+0.5)),0))</f>
        <v>5.74E-2</v>
      </c>
      <c r="M121" s="10">
        <f t="shared" si="34"/>
        <v>-64.458333333333329</v>
      </c>
      <c r="N121" s="10">
        <f t="shared" si="42"/>
        <v>2.7388908783195193E-2</v>
      </c>
      <c r="O121" s="11">
        <f t="shared" ca="1" si="23"/>
        <v>1</v>
      </c>
      <c r="P121" s="11">
        <f t="shared" ca="1" si="24"/>
        <v>1</v>
      </c>
      <c r="Q121" s="355">
        <f t="shared" si="38"/>
        <v>64</v>
      </c>
      <c r="R121" s="10">
        <f t="shared" si="43"/>
        <v>2.025866008196725E-5</v>
      </c>
      <c r="S121" s="256" cm="1">
        <f t="array" ref="S121">IF($F121&lt;R$1,"",INDEX('4044 Yield Curves'!$C$7:$C$66,MIN(60,2*($F121-R$1+0.5)),0))</f>
        <v>5.74E-2</v>
      </c>
      <c r="T121" s="10">
        <f t="shared" si="35"/>
        <v>-63.458333333333336</v>
      </c>
      <c r="U121" s="10">
        <f t="shared" si="36"/>
        <v>2.8961032147350581E-2</v>
      </c>
      <c r="V121" s="11">
        <f t="shared" ca="1" si="39"/>
        <v>1</v>
      </c>
      <c r="W121" s="11">
        <f t="shared" ca="1" si="40"/>
        <v>1</v>
      </c>
      <c r="X121" s="355">
        <f t="shared" si="33"/>
        <v>63</v>
      </c>
      <c r="Z121" s="284"/>
      <c r="AA121" s="285"/>
      <c r="AB121" s="338"/>
      <c r="AC121" s="339"/>
      <c r="AD121" s="279"/>
      <c r="AE121" s="287"/>
      <c r="AF121" s="287"/>
      <c r="AI121" s="294"/>
      <c r="AJ121" s="279"/>
    </row>
    <row r="122" spans="1:36" ht="13" x14ac:dyDescent="0.3">
      <c r="B122" s="13"/>
      <c r="E122" s="322"/>
      <c r="F122" s="8">
        <f t="shared" si="28"/>
        <v>115</v>
      </c>
      <c r="G122" s="335">
        <f>'4050 Mortality'!C120</f>
        <v>0.49902999999999997</v>
      </c>
      <c r="H122" s="10">
        <f t="shared" si="29"/>
        <v>0.50097000000000003</v>
      </c>
      <c r="I122" s="243">
        <f t="shared" si="37"/>
        <v>0.74975876191633883</v>
      </c>
      <c r="J122" s="328"/>
      <c r="K122" s="10">
        <f t="shared" si="41"/>
        <v>1.0172139274009286E-5</v>
      </c>
      <c r="L122" s="256" cm="1">
        <f t="array" ref="L122">IF($F122&lt;K$1,"",INDEX('4044 Yield Curves'!$C$7:$C$66,MIN(60,2*($F122-K$1+0.5)),0))</f>
        <v>5.74E-2</v>
      </c>
      <c r="M122" s="10">
        <f t="shared" si="34"/>
        <v>-65.458333333333329</v>
      </c>
      <c r="N122" s="10">
        <f t="shared" si="42"/>
        <v>2.5902126710038956E-2</v>
      </c>
      <c r="O122" s="11">
        <f t="shared" ca="1" si="23"/>
        <v>1</v>
      </c>
      <c r="P122" s="11">
        <f t="shared" ca="1" si="24"/>
        <v>1</v>
      </c>
      <c r="Q122" s="355">
        <f t="shared" si="38"/>
        <v>65</v>
      </c>
      <c r="R122" s="10">
        <f t="shared" si="43"/>
        <v>1.0179774104587723E-5</v>
      </c>
      <c r="S122" s="256" cm="1">
        <f t="array" ref="S122">IF($F122&lt;R$1,"",INDEX('4044 Yield Curves'!$C$7:$C$66,MIN(60,2*($F122-R$1+0.5)),0))</f>
        <v>5.74E-2</v>
      </c>
      <c r="T122" s="10">
        <f t="shared" si="35"/>
        <v>-64.458333333333329</v>
      </c>
      <c r="U122" s="10">
        <f t="shared" si="36"/>
        <v>2.7388908783195193E-2</v>
      </c>
      <c r="V122" s="11">
        <f t="shared" ca="1" si="39"/>
        <v>1</v>
      </c>
      <c r="W122" s="11">
        <f t="shared" ca="1" si="40"/>
        <v>1</v>
      </c>
      <c r="X122" s="355">
        <f t="shared" si="33"/>
        <v>64</v>
      </c>
      <c r="Z122" s="284"/>
      <c r="AA122" s="285"/>
      <c r="AB122" s="338"/>
      <c r="AC122" s="339"/>
      <c r="AD122" s="279"/>
      <c r="AE122" s="287"/>
      <c r="AF122" s="287"/>
      <c r="AI122" s="294"/>
      <c r="AJ122" s="279"/>
    </row>
    <row r="123" spans="1:36" ht="13" x14ac:dyDescent="0.3">
      <c r="B123" s="13"/>
      <c r="E123" s="322"/>
      <c r="F123" s="8">
        <f t="shared" si="28"/>
        <v>116</v>
      </c>
      <c r="G123" s="335">
        <f>'4050 Mortality'!C121</f>
        <v>0.49945000000000001</v>
      </c>
      <c r="H123" s="10">
        <f t="shared" si="29"/>
        <v>0.50055000000000005</v>
      </c>
      <c r="I123" s="243">
        <f t="shared" si="37"/>
        <v>0.74949679037871408</v>
      </c>
      <c r="J123" s="328"/>
      <c r="K123" s="10">
        <f t="shared" si="41"/>
        <v>5.0959366121004319E-6</v>
      </c>
      <c r="L123" s="256" cm="1">
        <f t="array" ref="L123">IF($F123&lt;K$1,"",INDEX('4044 Yield Curves'!$C$7:$C$66,MIN(60,2*($F123-K$1+0.5)),0))</f>
        <v>5.74E-2</v>
      </c>
      <c r="M123" s="10">
        <f t="shared" si="34"/>
        <v>-66.458333333333329</v>
      </c>
      <c r="N123" s="10">
        <f t="shared" si="42"/>
        <v>2.4496053253299573E-2</v>
      </c>
      <c r="O123" s="11">
        <f t="shared" ca="1" si="23"/>
        <v>1</v>
      </c>
      <c r="P123" s="11">
        <f t="shared" ca="1" si="24"/>
        <v>1</v>
      </c>
      <c r="Q123" s="355">
        <f t="shared" si="38"/>
        <v>66</v>
      </c>
      <c r="R123" s="10">
        <f t="shared" si="43"/>
        <v>5.0997614331753121E-6</v>
      </c>
      <c r="S123" s="256" cm="1">
        <f t="array" ref="S123">IF($F123&lt;R$1,"",INDEX('4044 Yield Curves'!$C$7:$C$66,MIN(60,2*($F123-R$1+0.5)),0))</f>
        <v>5.74E-2</v>
      </c>
      <c r="T123" s="10">
        <f t="shared" si="35"/>
        <v>-65.458333333333329</v>
      </c>
      <c r="U123" s="10">
        <f t="shared" si="36"/>
        <v>2.5902126710038956E-2</v>
      </c>
      <c r="V123" s="11">
        <f t="shared" ca="1" si="39"/>
        <v>1</v>
      </c>
      <c r="W123" s="11">
        <f t="shared" ca="1" si="40"/>
        <v>1</v>
      </c>
      <c r="X123" s="355">
        <f t="shared" si="33"/>
        <v>65</v>
      </c>
      <c r="Z123" s="284"/>
      <c r="AA123" s="285"/>
      <c r="AB123" s="338"/>
      <c r="AC123" s="339"/>
      <c r="AD123" s="279"/>
      <c r="AE123" s="287"/>
      <c r="AF123" s="287"/>
      <c r="AI123" s="294"/>
      <c r="AJ123" s="279"/>
    </row>
    <row r="124" spans="1:36" ht="13" x14ac:dyDescent="0.3">
      <c r="B124" s="13"/>
      <c r="E124" s="322"/>
      <c r="F124" s="8">
        <f t="shared" si="28"/>
        <v>117</v>
      </c>
      <c r="G124" s="335">
        <f>'4050 Mortality'!C122</f>
        <v>0.49968000000000001</v>
      </c>
      <c r="H124" s="10">
        <f t="shared" si="29"/>
        <v>0.50031999999999999</v>
      </c>
      <c r="I124" s="243">
        <f t="shared" si="37"/>
        <v>0.7493532754366502</v>
      </c>
      <c r="J124" s="328"/>
      <c r="K124" s="10">
        <f t="shared" si="41"/>
        <v>2.5507710711868715E-6</v>
      </c>
      <c r="L124" s="256" cm="1">
        <f t="array" ref="L124">IF($F124&lt;K$1,"",INDEX('4044 Yield Curves'!$C$7:$C$66,MIN(60,2*($F124-K$1+0.5)),0))</f>
        <v>5.74E-2</v>
      </c>
      <c r="M124" s="10">
        <f t="shared" si="34"/>
        <v>-67.458333333333329</v>
      </c>
      <c r="N124" s="10">
        <f t="shared" si="42"/>
        <v>2.3166307218932827E-2</v>
      </c>
      <c r="O124" s="11">
        <f t="shared" ca="1" si="23"/>
        <v>1</v>
      </c>
      <c r="P124" s="11">
        <f t="shared" ca="1" si="24"/>
        <v>1</v>
      </c>
      <c r="Q124" s="355">
        <f t="shared" si="38"/>
        <v>67</v>
      </c>
      <c r="R124" s="10">
        <f t="shared" si="43"/>
        <v>2.5526855853759029E-6</v>
      </c>
      <c r="S124" s="256" cm="1">
        <f t="array" ref="S124">IF($F124&lt;R$1,"",INDEX('4044 Yield Curves'!$C$7:$C$66,MIN(60,2*($F124-R$1+0.5)),0))</f>
        <v>5.74E-2</v>
      </c>
      <c r="T124" s="10">
        <f t="shared" si="35"/>
        <v>-66.458333333333329</v>
      </c>
      <c r="U124" s="10">
        <f t="shared" si="36"/>
        <v>2.4496053253299573E-2</v>
      </c>
      <c r="V124" s="11">
        <f t="shared" ca="1" si="39"/>
        <v>1</v>
      </c>
      <c r="W124" s="11">
        <f t="shared" ca="1" si="40"/>
        <v>1</v>
      </c>
      <c r="X124" s="355">
        <f t="shared" si="33"/>
        <v>66</v>
      </c>
      <c r="Z124" s="284"/>
      <c r="AA124" s="285"/>
      <c r="AB124" s="338"/>
      <c r="AC124" s="339"/>
      <c r="AD124" s="279"/>
      <c r="AE124" s="287"/>
      <c r="AF124" s="287"/>
      <c r="AI124" s="294"/>
      <c r="AJ124" s="279"/>
    </row>
    <row r="125" spans="1:36" ht="13" x14ac:dyDescent="0.3">
      <c r="B125" s="13"/>
      <c r="E125" s="322"/>
      <c r="F125" s="8">
        <f t="shared" si="28"/>
        <v>118</v>
      </c>
      <c r="G125" s="335">
        <f>'4050 Mortality'!C123</f>
        <v>0.49990000000000001</v>
      </c>
      <c r="H125" s="10">
        <f t="shared" si="29"/>
        <v>0.50009999999999999</v>
      </c>
      <c r="I125" s="243">
        <f t="shared" si="37"/>
        <v>0.74921596425854298</v>
      </c>
      <c r="J125" s="328"/>
      <c r="K125" s="10">
        <f t="shared" si="41"/>
        <v>1.2762017823362156E-6</v>
      </c>
      <c r="L125" s="256" cm="1">
        <f t="array" ref="L125">IF($F125&lt;K$1,"",INDEX('4044 Yield Curves'!$C$7:$C$66,MIN(60,2*($F125-K$1+0.5)),0))</f>
        <v>5.74E-2</v>
      </c>
      <c r="M125" s="10">
        <f t="shared" si="34"/>
        <v>-68.458333333333329</v>
      </c>
      <c r="N125" s="10">
        <f t="shared" si="42"/>
        <v>2.1908745242039746E-2</v>
      </c>
      <c r="O125" s="11">
        <f t="shared" ca="1" si="23"/>
        <v>1</v>
      </c>
      <c r="P125" s="11">
        <f t="shared" ca="1" si="24"/>
        <v>1</v>
      </c>
      <c r="Q125" s="355">
        <f t="shared" si="38"/>
        <v>68</v>
      </c>
      <c r="R125" s="10">
        <f t="shared" si="43"/>
        <v>1.2771596520752718E-6</v>
      </c>
      <c r="S125" s="256" cm="1">
        <f t="array" ref="S125">IF($F125&lt;R$1,"",INDEX('4044 Yield Curves'!$C$7:$C$66,MIN(60,2*($F125-R$1+0.5)),0))</f>
        <v>5.74E-2</v>
      </c>
      <c r="T125" s="10">
        <f t="shared" si="35"/>
        <v>-67.458333333333329</v>
      </c>
      <c r="U125" s="10">
        <f t="shared" si="36"/>
        <v>2.3166307218932827E-2</v>
      </c>
      <c r="V125" s="11">
        <f t="shared" ca="1" si="39"/>
        <v>1</v>
      </c>
      <c r="W125" s="11">
        <f t="shared" ca="1" si="40"/>
        <v>1</v>
      </c>
      <c r="X125" s="355">
        <f t="shared" si="33"/>
        <v>67</v>
      </c>
      <c r="Z125" s="284"/>
      <c r="AA125" s="285"/>
      <c r="AB125" s="338"/>
      <c r="AC125" s="339"/>
      <c r="AD125" s="279"/>
      <c r="AE125" s="287"/>
      <c r="AF125" s="287"/>
      <c r="AI125" s="294"/>
      <c r="AJ125" s="279"/>
    </row>
    <row r="126" spans="1:36" ht="13" x14ac:dyDescent="0.3">
      <c r="A126" s="14"/>
      <c r="B126" s="13"/>
      <c r="E126" s="322"/>
      <c r="F126" s="8">
        <f t="shared" si="28"/>
        <v>119</v>
      </c>
      <c r="G126" s="335">
        <f>'4050 Mortality'!C124</f>
        <v>0.5</v>
      </c>
      <c r="H126" s="10">
        <f t="shared" si="29"/>
        <v>0.5</v>
      </c>
      <c r="I126" s="243">
        <f t="shared" si="37"/>
        <v>0.74915353843834076</v>
      </c>
      <c r="J126" s="328"/>
      <c r="K126" s="10">
        <f t="shared" si="41"/>
        <v>6.3822851134634136E-7</v>
      </c>
      <c r="L126" s="256" cm="1">
        <f t="array" ref="L126">IF($F126&lt;K$1,"",INDEX('4044 Yield Curves'!$C$7:$C$66,MIN(60,2*($F126-K$1+0.5)),0))</f>
        <v>5.74E-2</v>
      </c>
      <c r="M126" s="10">
        <f t="shared" si="34"/>
        <v>-69.458333333333329</v>
      </c>
      <c r="N126" s="10">
        <f t="shared" si="42"/>
        <v>2.0719448876527092E-2</v>
      </c>
      <c r="O126" s="11">
        <f t="shared" ca="1" si="23"/>
        <v>1</v>
      </c>
      <c r="P126" s="11">
        <f t="shared" ca="1" si="24"/>
        <v>1</v>
      </c>
      <c r="Q126" s="355">
        <f t="shared" si="38"/>
        <v>69</v>
      </c>
      <c r="R126" s="10">
        <f t="shared" si="43"/>
        <v>6.3870754200284345E-7</v>
      </c>
      <c r="S126" s="256" cm="1">
        <f t="array" ref="S126">IF($F126&lt;R$1,"",INDEX('4044 Yield Curves'!$C$7:$C$66,MIN(60,2*($F126-R$1+0.5)),0))</f>
        <v>5.74E-2</v>
      </c>
      <c r="T126" s="10">
        <f t="shared" si="35"/>
        <v>-68.458333333333329</v>
      </c>
      <c r="U126" s="10">
        <f t="shared" si="36"/>
        <v>2.1908745242039746E-2</v>
      </c>
      <c r="V126" s="11">
        <f t="shared" ca="1" si="39"/>
        <v>1</v>
      </c>
      <c r="W126" s="11">
        <f t="shared" ca="1" si="40"/>
        <v>1</v>
      </c>
      <c r="X126" s="355">
        <f t="shared" si="33"/>
        <v>68</v>
      </c>
      <c r="Z126" s="284"/>
      <c r="AA126" s="285"/>
      <c r="AB126" s="338"/>
      <c r="AC126" s="339"/>
      <c r="AD126" s="279"/>
      <c r="AE126" s="287"/>
      <c r="AF126" s="287"/>
      <c r="AI126" s="294"/>
      <c r="AJ126" s="279"/>
    </row>
    <row r="127" spans="1:36" ht="13.5" thickBot="1" x14ac:dyDescent="0.35">
      <c r="B127" s="13"/>
      <c r="E127" s="323"/>
      <c r="F127" s="8">
        <f t="shared" si="28"/>
        <v>120</v>
      </c>
      <c r="G127" s="335">
        <f>'4050 Mortality'!C125</f>
        <v>1</v>
      </c>
      <c r="H127" s="10">
        <f t="shared" si="29"/>
        <v>0</v>
      </c>
      <c r="I127" s="243">
        <f t="shared" si="37"/>
        <v>0</v>
      </c>
      <c r="J127" s="329"/>
      <c r="K127" s="10">
        <f t="shared" si="41"/>
        <v>3.1911425567317068E-7</v>
      </c>
      <c r="L127" s="256" cm="1">
        <f t="array" ref="L127">IF($F127&lt;K$1,"",INDEX('4044 Yield Curves'!$C$7:$C$66,MIN(60,2*($F127-K$1+0.5)),0))</f>
        <v>5.74E-2</v>
      </c>
      <c r="M127" s="10">
        <f t="shared" si="34"/>
        <v>-70.458333333333329</v>
      </c>
      <c r="N127" s="10">
        <f t="shared" si="42"/>
        <v>1.9594712385593994E-2</v>
      </c>
      <c r="O127" s="11">
        <f t="shared" ca="1" si="23"/>
        <v>1</v>
      </c>
      <c r="P127" s="11">
        <f t="shared" ca="1" si="24"/>
        <v>1</v>
      </c>
      <c r="Q127" s="356">
        <f t="shared" si="38"/>
        <v>70</v>
      </c>
      <c r="R127" s="10">
        <f t="shared" si="43"/>
        <v>3.1935377100142172E-7</v>
      </c>
      <c r="S127" s="256" cm="1">
        <f t="array" ref="S127">IF($F127&lt;R$1,"",INDEX('4044 Yield Curves'!$C$7:$C$66,MIN(60,2*($F127-R$1+0.5)),0))</f>
        <v>5.74E-2</v>
      </c>
      <c r="T127" s="10">
        <f t="shared" si="35"/>
        <v>-69.458333333333329</v>
      </c>
      <c r="U127" s="10">
        <f t="shared" si="36"/>
        <v>2.0719448876527092E-2</v>
      </c>
      <c r="V127" s="11">
        <f t="shared" ca="1" si="39"/>
        <v>1</v>
      </c>
      <c r="W127" s="11">
        <f t="shared" ca="1" si="40"/>
        <v>1</v>
      </c>
      <c r="X127" s="355">
        <f t="shared" si="33"/>
        <v>69</v>
      </c>
      <c r="Z127" s="284"/>
      <c r="AA127" s="285"/>
      <c r="AB127" s="338"/>
      <c r="AC127" s="339"/>
      <c r="AD127" s="279"/>
      <c r="AE127" s="287"/>
      <c r="AF127" s="287"/>
      <c r="AI127" s="294"/>
      <c r="AJ127" s="279"/>
    </row>
    <row r="128" spans="1:36" x14ac:dyDescent="0.25">
      <c r="B128" s="13"/>
      <c r="E128" s="10"/>
      <c r="F128" s="8"/>
      <c r="G128" s="9"/>
      <c r="H128" s="10"/>
      <c r="I128" s="10"/>
      <c r="J128" s="316"/>
      <c r="K128" s="10"/>
      <c r="L128" s="10"/>
      <c r="M128" s="10"/>
      <c r="N128" s="10"/>
      <c r="O128" s="10"/>
      <c r="P128" s="10"/>
      <c r="Q128" s="10"/>
      <c r="R128" s="10"/>
      <c r="S128" s="10"/>
      <c r="T128" s="10"/>
      <c r="U128" s="10"/>
      <c r="V128" s="10"/>
      <c r="W128" s="10"/>
      <c r="X128" s="10"/>
    </row>
    <row r="129" spans="1:24" x14ac:dyDescent="0.25">
      <c r="B129" s="13"/>
      <c r="F129" s="8"/>
      <c r="G129" s="9"/>
      <c r="J129" s="317"/>
    </row>
    <row r="130" spans="1:24" x14ac:dyDescent="0.25">
      <c r="A130" s="15"/>
      <c r="B130" s="13"/>
      <c r="E130" s="10"/>
      <c r="F130" s="8"/>
      <c r="G130" s="9"/>
      <c r="J130" s="316"/>
      <c r="N130" s="10"/>
      <c r="O130" s="10"/>
      <c r="P130" s="10"/>
      <c r="Q130" s="10"/>
      <c r="U130" s="10"/>
      <c r="V130" s="10"/>
      <c r="W130" s="10"/>
      <c r="X130" s="10"/>
    </row>
    <row r="131" spans="1:24" x14ac:dyDescent="0.25">
      <c r="A131" s="15"/>
      <c r="B131" s="13"/>
      <c r="E131" s="10"/>
      <c r="F131" s="8"/>
      <c r="G131" s="9"/>
      <c r="J131" s="316"/>
      <c r="N131" s="10"/>
      <c r="O131" s="10"/>
      <c r="P131" s="10"/>
      <c r="Q131" s="10"/>
      <c r="U131" s="10"/>
      <c r="V131" s="10"/>
      <c r="W131" s="10"/>
      <c r="X131" s="10"/>
    </row>
    <row r="132" spans="1:24" x14ac:dyDescent="0.25">
      <c r="J132" s="317"/>
      <c r="K132" s="89"/>
      <c r="L132" s="89"/>
      <c r="M132" s="89"/>
      <c r="R132" s="89"/>
      <c r="S132" s="89"/>
      <c r="T132" s="89"/>
    </row>
    <row r="133" spans="1:24" x14ac:dyDescent="0.25">
      <c r="J133" s="317"/>
      <c r="K133" s="89"/>
      <c r="L133" s="89"/>
      <c r="M133" s="89"/>
      <c r="R133" s="89"/>
      <c r="S133" s="89"/>
      <c r="T133" s="89"/>
    </row>
  </sheetData>
  <sheetProtection selectLockedCells="1"/>
  <mergeCells count="10">
    <mergeCell ref="B7:D7"/>
    <mergeCell ref="G4:G6"/>
    <mergeCell ref="L4:L6"/>
    <mergeCell ref="M4:M6"/>
    <mergeCell ref="K4:K6"/>
    <mergeCell ref="N5:N6"/>
    <mergeCell ref="U5:U6"/>
    <mergeCell ref="S4:S6"/>
    <mergeCell ref="T4:T6"/>
    <mergeCell ref="R4:R6"/>
  </mergeCells>
  <pageMargins left="0.7" right="0.7" top="0.75" bottom="0.75" header="0.3" footer="0.3"/>
  <pageSetup orientation="portrait" r:id="rId1"/>
  <ignoredErrors>
    <ignoredError sqref="A9:A11 B8 B10 C8 D8 D10"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b04b9a93-b54f-4549-9b70-040003075d6a" ContentTypeId="0x010100E09C6A4FD85CD94DB99934580C239257" PreviousValue="false"/>
</file>

<file path=customXml/item2.xml><?xml version="1.0" encoding="utf-8"?>
<p:properties xmlns:p="http://schemas.microsoft.com/office/2006/metadata/properties" xmlns:xsi="http://www.w3.org/2001/XMLSchema-instance" xmlns:pc="http://schemas.microsoft.com/office/infopath/2007/PartnerControls">
  <documentManagement>
    <MoveField xmlns="42a8a83a-5e27-410c-a1fc-7c5ac4e503f4" xsi:nil="true"/>
    <RecordNotification xmlns="42a8a83a-5e27-410c-a1fc-7c5ac4e503f4" xsi:nil="true"/>
    <PBGCCUI xmlns="42a8a83a-5e27-410c-a1fc-7c5ac4e503f4" xsi:nil="true"/>
    <Marking xmlns="42a8a83a-5e27-410c-a1fc-7c5ac4e503f4" xsi:nil="true"/>
    <WorkingCopyURL xmlns="42a8a83a-5e27-410c-a1fc-7c5ac4e503f4" xsi:nil="true"/>
    <bb9566753ea64e0fbe15cf4eea17e8e8 xmlns="42a8a83a-5e27-410c-a1fc-7c5ac4e503f4">
      <Terms xmlns="http://schemas.microsoft.com/office/infopath/2007/PartnerControls">
        <TermInfo xmlns="http://schemas.microsoft.com/office/infopath/2007/PartnerControls">
          <TermName xmlns="http://schemas.microsoft.com/office/infopath/2007/PartnerControls">Draft</TermName>
          <TermId xmlns="http://schemas.microsoft.com/office/infopath/2007/PartnerControls">8b602063-81a7-4444-80ff-7ce3b8151217</TermId>
        </TermInfo>
      </Terms>
    </bb9566753ea64e0fbe15cf4eea17e8e8>
    <TaxCatchAll xmlns="42a8a83a-5e27-410c-a1fc-7c5ac4e503f4">
      <Value>10166</Value>
      <Value>5928</Value>
    </TaxCatchAll>
    <AllMetadata xmlns="42a8a83a-5e27-410c-a1fc-7c5ac4e503f4" xsi:nil="true"/>
    <j08bdb5906ec4b57b3f4e7e25498f056 xmlns="42a8a83a-5e27-410c-a1fc-7c5ac4e503f4">
      <Terms xmlns="http://schemas.microsoft.com/office/infopath/2007/PartnerControls"/>
    </j08bdb5906ec4b57b3f4e7e25498f056>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PRAD Document" ma:contentTypeID="0x010100E09C6A4FD85CD94DB99934580C23925724002B93F2389D7E204E845CA33040935D1C" ma:contentTypeVersion="23" ma:contentTypeDescription="Documents with Controlled Unclassified Information (CUI) flag and markings." ma:contentTypeScope="" ma:versionID="0692fe5bec21fd32750fbb7dc913214e">
  <xsd:schema xmlns:xsd="http://www.w3.org/2001/XMLSchema" xmlns:xs="http://www.w3.org/2001/XMLSchema" xmlns:p="http://schemas.microsoft.com/office/2006/metadata/properties" xmlns:ns2="42a8a83a-5e27-410c-a1fc-7c5ac4e503f4" targetNamespace="http://schemas.microsoft.com/office/2006/metadata/properties" ma:root="true" ma:fieldsID="51bfac6119c9a2c6fe519ac50e569d3b" ns2:_="">
    <xsd:import namespace="42a8a83a-5e27-410c-a1fc-7c5ac4e503f4"/>
    <xsd:element name="properties">
      <xsd:complexType>
        <xsd:sequence>
          <xsd:element name="documentManagement">
            <xsd:complexType>
              <xsd:all>
                <xsd:element ref="ns2:PBGCCUI" minOccurs="0"/>
                <xsd:element ref="ns2:Marking" minOccurs="0"/>
                <xsd:element ref="ns2:MoveField" minOccurs="0"/>
                <xsd:element ref="ns2:RecordNotification" minOccurs="0"/>
                <xsd:element ref="ns2:WorkingCopyURL" minOccurs="0"/>
                <xsd:element ref="ns2:bb9566753ea64e0fbe15cf4eea17e8e8" minOccurs="0"/>
                <xsd:element ref="ns2:TaxCatchAll" minOccurs="0"/>
                <xsd:element ref="ns2:TaxCatchAllLabel" minOccurs="0"/>
                <xsd:element ref="ns2:AllMetadata" minOccurs="0"/>
                <xsd:element ref="ns2:j08bdb5906ec4b57b3f4e7e25498f056"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a8a83a-5e27-410c-a1fc-7c5ac4e503f4" elementFormDefault="qualified">
    <xsd:import namespace="http://schemas.microsoft.com/office/2006/documentManagement/types"/>
    <xsd:import namespace="http://schemas.microsoft.com/office/infopath/2007/PartnerControls"/>
    <xsd:element name="PBGCCUI" ma:index="8" nillable="true" ma:displayName="CUI" ma:description="*Enterprise Column* Indicates if Controlled Unclassified Information (CUI) or not." ma:format="RadioButtons" ma:internalName="PBGCCUI">
      <xsd:simpleType>
        <xsd:restriction base="dms:Choice">
          <xsd:enumeration value="Yes"/>
          <xsd:enumeration value="No"/>
        </xsd:restriction>
      </xsd:simpleType>
    </xsd:element>
    <xsd:element name="Marking" ma:index="9" nillable="true" ma:displayName="CUI Marking" ma:description="*Enterprise Column* Controlled Unclassified Information (CUI) marking. An asterisk (*) indicates that safeguarding, dissemination, marking and/or decontrol measures that differ from General Guidelines are required by statute, regulation, or Government-wide policy. See https://www.archives.gov/cui/registry/category-list.html for" ma:internalName="Marking">
      <xsd:complexType>
        <xsd:complexContent>
          <xsd:extension base="dms:MultiChoice">
            <xsd:sequence>
              <xsd:element name="Value" maxOccurs="unbounded" minOccurs="0" nillable="true">
                <xsd:simpleType>
                  <xsd:restriction base="dms:Choice">
                    <xsd:enumeration value="Financial*"/>
                    <xsd:enumeration value="Financial: Retirement"/>
                    <xsd:enumeration value="General"/>
                    <xsd:enumeration value="General Business Proprietary"/>
                    <xsd:enumeration value="Legal Privilege"/>
                    <xsd:enumeration value="Personnel Security Information"/>
                    <xsd:enumeration value="Physical Security"/>
                    <xsd:enumeration value="Privacy"/>
                    <xsd:enumeration value="Procurement and Acquisition*"/>
                    <xsd:enumeration value="Sensitive Security Information"/>
                    <xsd:enumeration value="Tax*"/>
                    <xsd:enumeration value="Whistleblower Identity"/>
                  </xsd:restriction>
                </xsd:simpleType>
              </xsd:element>
            </xsd:sequence>
          </xsd:extension>
        </xsd:complexContent>
      </xsd:complexType>
    </xsd:element>
    <xsd:element name="MoveField" ma:index="10" nillable="true" ma:displayName="MoveField" ma:default="0" ma:hidden="true" ma:internalName="MoveField" ma:readOnly="false">
      <xsd:simpleType>
        <xsd:restriction base="dms:Text">
          <xsd:maxLength value="2"/>
        </xsd:restriction>
      </xsd:simpleType>
    </xsd:element>
    <xsd:element name="RecordNotification" ma:index="11" nillable="true" ma:displayName="RecordNotification" ma:hidden="true" ma:internalName="RecordNotification" ma:readOnly="false">
      <xsd:simpleType>
        <xsd:restriction base="dms:Text">
          <xsd:maxLength value="255"/>
        </xsd:restriction>
      </xsd:simpleType>
    </xsd:element>
    <xsd:element name="WorkingCopyURL" ma:index="12" nillable="true" ma:displayName="WorkingCopyURL" ma:hidden="true" ma:internalName="WorkingCopyURL" ma:readOnly="false">
      <xsd:simpleType>
        <xsd:restriction base="dms:Note"/>
      </xsd:simpleType>
    </xsd:element>
    <xsd:element name="bb9566753ea64e0fbe15cf4eea17e8e8" ma:index="13" nillable="true" ma:taxonomy="true" ma:internalName="bb9566753ea64e0fbe15cf4eea17e8e8" ma:taxonomyFieldName="PRAD_Document_Status" ma:displayName="Document Status" ma:default="5928;#Draft|8b602063-81a7-4444-80ff-7ce3b8151217" ma:fieldId="{bb956675-3ea6-4e0f-be15-cf4eea17e8e8}" ma:sspId="b04b9a93-b54f-4549-9b70-040003075d6a" ma:termSetId="4097c74e-68f4-46ee-b686-59cc2719f708" ma:anchorId="00000000-0000-0000-0000-000000000000" ma:open="false" ma:isKeyword="false">
      <xsd:complexType>
        <xsd:sequence>
          <xsd:element ref="pc:Terms" minOccurs="0" maxOccurs="1"/>
        </xsd:sequence>
      </xsd:complexType>
    </xsd:element>
    <xsd:element name="TaxCatchAll" ma:index="14" nillable="true" ma:displayName="Taxonomy Catch All Column" ma:description="" ma:hidden="true" ma:list="{491bd9d0-e5b3-4c92-ab4d-1bb0dbc017c7}" ma:internalName="TaxCatchAll" ma:showField="CatchAllData" ma:web="5f3443fc-942e-49a9-a87f-14faa0f18537">
      <xsd:complexType>
        <xsd:complexContent>
          <xsd:extension base="dms:MultiChoiceLookup">
            <xsd:sequence>
              <xsd:element name="Value" type="dms:Lookup" maxOccurs="unbounded" minOccurs="0" nillable="true"/>
            </xsd:sequence>
          </xsd:extension>
        </xsd:complexContent>
      </xsd:complexType>
    </xsd:element>
    <xsd:element name="TaxCatchAllLabel" ma:index="15" nillable="true" ma:displayName="Taxonomy Catch All Column1" ma:description="" ma:hidden="true" ma:list="{491bd9d0-e5b3-4c92-ab4d-1bb0dbc017c7}" ma:internalName="TaxCatchAllLabel" ma:readOnly="true" ma:showField="CatchAllDataLabel" ma:web="5f3443fc-942e-49a9-a87f-14faa0f18537">
      <xsd:complexType>
        <xsd:complexContent>
          <xsd:extension base="dms:MultiChoiceLookup">
            <xsd:sequence>
              <xsd:element name="Value" type="dms:Lookup" maxOccurs="unbounded" minOccurs="0" nillable="true"/>
            </xsd:sequence>
          </xsd:extension>
        </xsd:complexContent>
      </xsd:complexType>
    </xsd:element>
    <xsd:element name="AllMetadata" ma:index="17" nillable="true" ma:displayName="AllMetadata" ma:hidden="true" ma:internalName="AllMetadata" ma:readOnly="false">
      <xsd:simpleType>
        <xsd:restriction base="dms:Note"/>
      </xsd:simpleType>
    </xsd:element>
    <xsd:element name="j08bdb5906ec4b57b3f4e7e25498f056" ma:index="18" nillable="true" ma:taxonomy="true" ma:internalName="j08bdb5906ec4b57b3f4e7e25498f056" ma:taxonomyFieldName="PRAD_x0020_Document_x0020_Type" ma:displayName="PRAD Document Type" ma:default="" ma:fieldId="{308bdb59-06ec-4b57-b3f4-e7e25498f056}" ma:sspId="b04b9a93-b54f-4549-9b70-040003075d6a" ma:termSetId="3a1f7b6b-7b9a-4a46-9dc8-8a8fa8084f37"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2E74FB8-3589-4667-BE61-03C6B5538163}">
  <ds:schemaRefs>
    <ds:schemaRef ds:uri="Microsoft.SharePoint.Taxonomy.ContentTypeSync"/>
  </ds:schemaRefs>
</ds:datastoreItem>
</file>

<file path=customXml/itemProps2.xml><?xml version="1.0" encoding="utf-8"?>
<ds:datastoreItem xmlns:ds="http://schemas.openxmlformats.org/officeDocument/2006/customXml" ds:itemID="{E1060665-F4A3-431A-BAF5-F4034854C952}">
  <ds:schemaRefs>
    <ds:schemaRef ds:uri="http://purl.org/dc/terms/"/>
    <ds:schemaRef ds:uri="http://schemas.microsoft.com/office/infopath/2007/PartnerControls"/>
    <ds:schemaRef ds:uri="http://schemas.microsoft.com/office/2006/documentManagement/types"/>
    <ds:schemaRef ds:uri="http://schemas.microsoft.com/office/2006/metadata/properties"/>
    <ds:schemaRef ds:uri="http://purl.org/dc/elements/1.1/"/>
    <ds:schemaRef ds:uri="http://schemas.openxmlformats.org/package/2006/metadata/core-properties"/>
    <ds:schemaRef ds:uri="42a8a83a-5e27-410c-a1fc-7c5ac4e503f4"/>
    <ds:schemaRef ds:uri="http://www.w3.org/XML/1998/namespace"/>
    <ds:schemaRef ds:uri="http://purl.org/dc/dcmitype/"/>
  </ds:schemaRefs>
</ds:datastoreItem>
</file>

<file path=customXml/itemProps3.xml><?xml version="1.0" encoding="utf-8"?>
<ds:datastoreItem xmlns:ds="http://schemas.openxmlformats.org/officeDocument/2006/customXml" ds:itemID="{098D10DD-C5B5-41E9-84B8-88645491442F}">
  <ds:schemaRefs>
    <ds:schemaRef ds:uri="http://schemas.microsoft.com/sharepoint/v3/contenttype/forms"/>
  </ds:schemaRefs>
</ds:datastoreItem>
</file>

<file path=customXml/itemProps4.xml><?xml version="1.0" encoding="utf-8"?>
<ds:datastoreItem xmlns:ds="http://schemas.openxmlformats.org/officeDocument/2006/customXml" ds:itemID="{D8694DC8-D469-4712-998D-F485577678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2a8a83a-5e27-410c-a1fc-7c5ac4e503f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17</vt:i4>
      </vt:variant>
    </vt:vector>
  </HeadingPairs>
  <TitlesOfParts>
    <vt:vector size="25" baseType="lpstr">
      <vt:lpstr>Instructions</vt:lpstr>
      <vt:lpstr>Before NRA</vt:lpstr>
      <vt:lpstr>On or After NRA</vt:lpstr>
      <vt:lpstr>Work Area 1</vt:lpstr>
      <vt:lpstr>Work Area 2</vt:lpstr>
      <vt:lpstr>Work Area 3</vt:lpstr>
      <vt:lpstr>Work Area 4</vt:lpstr>
      <vt:lpstr>Work Area 5</vt:lpstr>
      <vt:lpstr>ForwardRates</vt:lpstr>
      <vt:lpstr>AnnuFact_After_NRD!InterestDiscount</vt:lpstr>
      <vt:lpstr>AnnuFact_Before_NRD!InterestDiscount</vt:lpstr>
      <vt:lpstr>AnnuFact_After_NRD!InterestDiscount2</vt:lpstr>
      <vt:lpstr>AnnuFact_Before_NRD!InterestDiscount2</vt:lpstr>
      <vt:lpstr>Mort_4044_53_h</vt:lpstr>
      <vt:lpstr>AnnuFact_After_NRD!Payment</vt:lpstr>
      <vt:lpstr>AnnuFact_After_NRD!Payment2</vt:lpstr>
      <vt:lpstr>'Before NRA'!Print_Area</vt:lpstr>
      <vt:lpstr>Instructions!Print_Area</vt:lpstr>
      <vt:lpstr>'On or After NRA'!Print_Area</vt:lpstr>
      <vt:lpstr>'Update Wkbk Instructions'!Print_Area</vt:lpstr>
      <vt:lpstr>AnnuFact_After_NRD!SurvivalDiscount</vt:lpstr>
      <vt:lpstr>AnnuFact_Before_NRD!SurvivalDiscount</vt:lpstr>
      <vt:lpstr>AnnuFact_After_NRD!SurvivalDiscount2</vt:lpstr>
      <vt:lpstr>AnnuFact_Before_NRD!SurvivalDiscount2</vt:lpstr>
      <vt:lpstr>SurviveFromBOYtoMidYear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Category 2 PV Calculator</dc:title>
  <dc:subject/>
  <dc:creator/>
  <cp:keywords/>
  <dc:description/>
  <cp:revision/>
  <dcterms:created xsi:type="dcterms:W3CDTF">2015-09-06T12:13:28Z</dcterms:created>
  <dcterms:modified xsi:type="dcterms:W3CDTF">2026-01-29T22:07:01Z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0x010100E09C6A4FD85CD94DB99934580C23925724002B93F2389D7E204E845CA33040935D1C</vt:lpwstr>
  </property>
  <property fmtid="{D5CDD505-2E9C-101B-9397-08002B2CF9AE}" pid="3" name="Order">
    <vt:r8>100</vt:r8>
  </property>
  <property fmtid="{D5CDD505-2E9C-101B-9397-08002B2CF9AE}" pid="4" name="Source Library">
    <vt:lpwstr/>
  </property>
  <property fmtid="{D5CDD505-2E9C-101B-9397-08002B2CF9AE}" pid="5" name="Source Path">
    <vt:lpwstr>10166;#File share:PRAD:_Working Environment:_RAPID:Regulation Development:Missing Ps|55e0bf86-bfd6-4ae9-b6c5-dd642c6d33d3</vt:lpwstr>
  </property>
  <property fmtid="{D5CDD505-2E9C-101B-9397-08002B2CF9AE}" pid="6" name="Source Type">
    <vt:lpwstr>File share</vt:lpwstr>
  </property>
  <property fmtid="{D5CDD505-2E9C-101B-9397-08002B2CF9AE}" pid="7" name="jff85f268d7c44c3963dbeaff3421efe">
    <vt:lpwstr>File share:PRAD:_Working Environment:_RAPID:Regulation Development:Missing Ps|55e0bf86-bfd6-4ae9-b6c5-dd642c6d33d3</vt:lpwstr>
  </property>
  <property fmtid="{D5CDD505-2E9C-101B-9397-08002B2CF9AE}" pid="8" name="TaxCatchAll">
    <vt:lpwstr>3;#File share:PRAD:_Working Environment:_RAPID:Regulation Development:Missing Ps|55e0bf86-bfd6-4ae9-b6c5-dd642c6d33d3</vt:lpwstr>
  </property>
  <property fmtid="{D5CDD505-2E9C-101B-9397-08002B2CF9AE}" pid="9" name="PRAD_Document_Status">
    <vt:lpwstr>5928;#Draft|8b602063-81a7-4444-80ff-7ce3b8151217</vt:lpwstr>
  </property>
  <property fmtid="{D5CDD505-2E9C-101B-9397-08002B2CF9AE}" pid="10" name="PRAD Document Type">
    <vt:lpwstr/>
  </property>
  <property fmtid="{D5CDD505-2E9C-101B-9397-08002B2CF9AE}" pid="11" name="mae72c5ce76549959ffe5c76f1536250">
    <vt:lpwstr>File share:PRAD:_Working Environment:_RAPID:Regulation Development:Missing Ps|55e0bf86-bfd6-4ae9-b6c5-dd642c6d33d3</vt:lpwstr>
  </property>
  <property fmtid="{D5CDD505-2E9C-101B-9397-08002B2CF9AE}" pid="12" name="CUIReviewer">
    <vt:lpwstr/>
  </property>
  <property fmtid="{D5CDD505-2E9C-101B-9397-08002B2CF9AE}" pid="13" name="Source_x0020_Path">
    <vt:lpwstr>10166;#File share:PRAD:_Working Environment:_RAPID:Regulation Development:Missing Ps|55e0bf86-bfd6-4ae9-b6c5-dd642c6d33d3</vt:lpwstr>
  </property>
  <property fmtid="{D5CDD505-2E9C-101B-9397-08002B2CF9AE}" pid="14" name="PRAD_x0020_Document_x0020_Type">
    <vt:lpwstr/>
  </property>
</Properties>
</file>